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chneck\Box Sync\Mines to Markets - SHARED TEAM FOLDER\1_PROJECT FILES\G_Global_DELVE - JMcQ\Master Data 2019\Sub-Saharan Africa\Uganda\"/>
    </mc:Choice>
  </mc:AlternateContent>
  <xr:revisionPtr revIDLastSave="0" documentId="8_{6E43E2B4-ABC1-49A0-BA7D-1FD7C2DFA9CC}" xr6:coauthVersionLast="40" xr6:coauthVersionMax="40" xr10:uidLastSave="{00000000-0000-0000-0000-000000000000}"/>
  <bookViews>
    <workbookView xWindow="19090" yWindow="-110" windowWidth="19420" windowHeight="10420" xr2:uid="{00000000-000D-0000-FFFF-FFFF00000000}"/>
  </bookViews>
  <sheets>
    <sheet name="Table of Contents" sheetId="5" r:id="rId1"/>
    <sheet name="X-Monthly" sheetId="1" r:id="rId2"/>
    <sheet name="X-Quarterly" sheetId="2" r:id="rId3"/>
    <sheet name="X-CY" sheetId="3" r:id="rId4"/>
    <sheet name="X-FY" sheetId="4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D83" i="1" l="1"/>
  <c r="FE83" i="1"/>
  <c r="FF83" i="1"/>
  <c r="FG83" i="1"/>
  <c r="FH83" i="1"/>
  <c r="FI83" i="1"/>
  <c r="FJ83" i="1"/>
  <c r="FK83" i="1"/>
  <c r="FL83" i="1"/>
  <c r="FM83" i="1"/>
  <c r="FN83" i="1"/>
  <c r="FO83" i="1"/>
  <c r="FP83" i="1"/>
  <c r="FQ83" i="1"/>
  <c r="FR83" i="1"/>
  <c r="FS83" i="1"/>
  <c r="FT83" i="1"/>
  <c r="FU83" i="1"/>
  <c r="FV83" i="1"/>
  <c r="FW83" i="1"/>
  <c r="FX83" i="1"/>
  <c r="GK83" i="1"/>
  <c r="GL83" i="1"/>
  <c r="GM83" i="1"/>
  <c r="GN83" i="1"/>
  <c r="GO83" i="1"/>
  <c r="GP83" i="1"/>
  <c r="GQ83" i="1"/>
  <c r="GR83" i="1"/>
  <c r="GY83" i="1"/>
  <c r="GZ83" i="1"/>
  <c r="HA83" i="1"/>
  <c r="HB83" i="1"/>
  <c r="HC83" i="1"/>
  <c r="HD83" i="1"/>
  <c r="HH83" i="1"/>
  <c r="HI83" i="1"/>
  <c r="HJ83" i="1"/>
  <c r="HK83" i="1"/>
  <c r="HL83" i="1"/>
  <c r="HM83" i="1"/>
  <c r="HN83" i="1"/>
  <c r="HO83" i="1"/>
  <c r="HP83" i="1"/>
  <c r="HU83" i="1"/>
  <c r="HV83" i="1"/>
  <c r="HW83" i="1"/>
  <c r="IY83" i="1"/>
  <c r="IZ83" i="1"/>
  <c r="JB83" i="1"/>
  <c r="JC83" i="1"/>
  <c r="JD83" i="1"/>
  <c r="JE83" i="1"/>
  <c r="JF83" i="1"/>
  <c r="JG83" i="1"/>
  <c r="JH83" i="1"/>
  <c r="JI83" i="1"/>
  <c r="JJ83" i="1"/>
  <c r="JP83" i="1"/>
  <c r="JW83" i="1"/>
  <c r="JZ83" i="1"/>
  <c r="KA83" i="1"/>
  <c r="FK88" i="1"/>
  <c r="GB88" i="1"/>
  <c r="GC88" i="1"/>
  <c r="GF88" i="1"/>
  <c r="GJ88" i="1"/>
  <c r="GN88" i="1"/>
  <c r="GO88" i="1"/>
  <c r="GQ88" i="1"/>
  <c r="GR88" i="1"/>
  <c r="GS88" i="1"/>
  <c r="GY88" i="1"/>
  <c r="GZ88" i="1"/>
  <c r="HA88" i="1"/>
  <c r="HF88" i="1"/>
  <c r="HG88" i="1"/>
  <c r="HI88" i="1"/>
  <c r="HK88" i="1"/>
  <c r="HW88" i="1"/>
  <c r="HX88" i="1"/>
  <c r="HY88" i="1"/>
  <c r="HZ88" i="1"/>
  <c r="IA88" i="1"/>
  <c r="IB88" i="1"/>
  <c r="IC88" i="1"/>
  <c r="ID88" i="1"/>
  <c r="IE88" i="1"/>
  <c r="IF88" i="1"/>
  <c r="IG88" i="1"/>
  <c r="IH88" i="1"/>
  <c r="IJ88" i="1"/>
  <c r="IK88" i="1"/>
  <c r="IL88" i="1"/>
  <c r="IN88" i="1"/>
  <c r="IO88" i="1"/>
  <c r="IP88" i="1"/>
  <c r="IQ88" i="1"/>
  <c r="IR88" i="1"/>
  <c r="IS88" i="1"/>
  <c r="IT88" i="1"/>
  <c r="IU88" i="1"/>
  <c r="JD88" i="1"/>
  <c r="JG88" i="1"/>
  <c r="JH88" i="1"/>
  <c r="JI88" i="1"/>
  <c r="JJ88" i="1"/>
  <c r="JK88" i="1"/>
  <c r="JM88" i="1"/>
  <c r="JR88" i="1"/>
  <c r="JT88" i="1"/>
  <c r="JU88" i="1"/>
  <c r="JV88" i="1"/>
  <c r="JW88" i="1"/>
  <c r="EW89" i="1"/>
  <c r="EX89" i="1"/>
  <c r="EY89" i="1"/>
  <c r="EZ89" i="1"/>
  <c r="FA89" i="1"/>
  <c r="FB89" i="1"/>
  <c r="FC89" i="1"/>
  <c r="FD89" i="1"/>
  <c r="FE89" i="1"/>
  <c r="FK89" i="1"/>
  <c r="FL89" i="1"/>
  <c r="FM89" i="1"/>
  <c r="FN89" i="1"/>
  <c r="FR89" i="1"/>
  <c r="FT89" i="1"/>
  <c r="FU89" i="1"/>
  <c r="FX89" i="1"/>
  <c r="FY89" i="1"/>
  <c r="GB89" i="1"/>
  <c r="GE89" i="1"/>
  <c r="GU89" i="1"/>
  <c r="GV89" i="1"/>
  <c r="HC89" i="1"/>
  <c r="HD89" i="1"/>
  <c r="HH89" i="1"/>
  <c r="HI89" i="1"/>
  <c r="HJ89" i="1"/>
  <c r="HK89" i="1"/>
  <c r="HL89" i="1"/>
  <c r="HM89" i="1"/>
  <c r="HN89" i="1"/>
  <c r="HZ89" i="1"/>
  <c r="IA89" i="1"/>
  <c r="IF89" i="1"/>
  <c r="IG89" i="1"/>
  <c r="IH89" i="1"/>
  <c r="IB90" i="1"/>
  <c r="IC90" i="1"/>
  <c r="ID90" i="1"/>
  <c r="EX91" i="1"/>
  <c r="HZ91" i="1"/>
  <c r="HZ95" i="1"/>
  <c r="HZ101" i="1"/>
  <c r="EW106" i="1"/>
  <c r="EX106" i="1"/>
  <c r="EY106" i="1"/>
  <c r="EZ106" i="1"/>
  <c r="FA106" i="1"/>
  <c r="FD106" i="1"/>
  <c r="FE106" i="1"/>
  <c r="FF106" i="1"/>
  <c r="FG106" i="1"/>
  <c r="FH106" i="1"/>
  <c r="FI106" i="1"/>
  <c r="FJ106" i="1"/>
  <c r="FK106" i="1"/>
  <c r="FO106" i="1"/>
  <c r="FP106" i="1"/>
  <c r="FQ106" i="1"/>
  <c r="FR106" i="1"/>
  <c r="FS106" i="1"/>
  <c r="FT106" i="1"/>
  <c r="FU106" i="1"/>
  <c r="FV106" i="1"/>
  <c r="FW106" i="1"/>
  <c r="FX106" i="1"/>
  <c r="FY106" i="1"/>
  <c r="FZ106" i="1"/>
  <c r="GA106" i="1"/>
  <c r="GB106" i="1"/>
  <c r="GC106" i="1"/>
  <c r="GD106" i="1"/>
  <c r="O83" i="3"/>
  <c r="O84" i="3"/>
  <c r="O85" i="3"/>
  <c r="O86" i="3"/>
  <c r="O87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82" i="3"/>
  <c r="L106" i="4"/>
  <c r="M105" i="4"/>
  <c r="L105" i="4"/>
  <c r="K105" i="4"/>
  <c r="J105" i="4"/>
  <c r="M104" i="4"/>
  <c r="L104" i="4"/>
  <c r="K104" i="4"/>
  <c r="J104" i="4"/>
  <c r="M103" i="4"/>
  <c r="L103" i="4"/>
  <c r="K103" i="4"/>
  <c r="J103" i="4"/>
  <c r="M102" i="4"/>
  <c r="L102" i="4"/>
  <c r="K102" i="4"/>
  <c r="J102" i="4"/>
  <c r="M101" i="4"/>
  <c r="L101" i="4"/>
  <c r="K101" i="4"/>
  <c r="J101" i="4"/>
  <c r="M100" i="4"/>
  <c r="L100" i="4"/>
  <c r="K100" i="4"/>
  <c r="J100" i="4"/>
  <c r="M99" i="4"/>
  <c r="L99" i="4"/>
  <c r="K99" i="4"/>
  <c r="J99" i="4"/>
  <c r="M96" i="4"/>
  <c r="L96" i="4"/>
  <c r="K96" i="4"/>
  <c r="J96" i="4"/>
  <c r="M95" i="4"/>
  <c r="L95" i="4"/>
  <c r="K95" i="4"/>
  <c r="J95" i="4"/>
  <c r="M93" i="4"/>
  <c r="L93" i="4"/>
  <c r="K93" i="4"/>
  <c r="J93" i="4"/>
  <c r="M92" i="4"/>
  <c r="L92" i="4"/>
  <c r="K92" i="4"/>
  <c r="J92" i="4"/>
  <c r="M91" i="4"/>
  <c r="L91" i="4"/>
  <c r="K91" i="4"/>
  <c r="J91" i="4"/>
  <c r="J83" i="4"/>
  <c r="K83" i="4"/>
  <c r="L83" i="4"/>
  <c r="M83" i="4"/>
  <c r="J84" i="4"/>
  <c r="K84" i="4"/>
  <c r="L84" i="4"/>
  <c r="M84" i="4"/>
  <c r="J85" i="4"/>
  <c r="K85" i="4"/>
  <c r="L85" i="4"/>
  <c r="M85" i="4"/>
  <c r="J86" i="4"/>
  <c r="K86" i="4"/>
  <c r="L86" i="4"/>
  <c r="M86" i="4"/>
  <c r="J87" i="4"/>
  <c r="K87" i="4"/>
  <c r="L87" i="4"/>
  <c r="M87" i="4"/>
  <c r="J88" i="4"/>
  <c r="K88" i="4"/>
  <c r="L88" i="4"/>
  <c r="M88" i="4"/>
  <c r="M82" i="4"/>
  <c r="L82" i="4"/>
  <c r="K82" i="4"/>
  <c r="J82" i="4"/>
  <c r="K83" i="3"/>
  <c r="L83" i="3"/>
  <c r="M83" i="3"/>
  <c r="N83" i="3"/>
  <c r="K84" i="3"/>
  <c r="L84" i="3"/>
  <c r="M84" i="3"/>
  <c r="N84" i="3"/>
  <c r="K85" i="3"/>
  <c r="L85" i="3"/>
  <c r="M85" i="3"/>
  <c r="N85" i="3"/>
  <c r="K86" i="3"/>
  <c r="L86" i="3"/>
  <c r="M86" i="3"/>
  <c r="N86" i="3"/>
  <c r="K87" i="3"/>
  <c r="L87" i="3"/>
  <c r="M87" i="3"/>
  <c r="N87" i="3"/>
  <c r="K88" i="3"/>
  <c r="L88" i="3"/>
  <c r="M88" i="3"/>
  <c r="N88" i="3"/>
  <c r="K89" i="3"/>
  <c r="K90" i="3"/>
  <c r="L90" i="3"/>
  <c r="M90" i="3"/>
  <c r="N90" i="3"/>
  <c r="K91" i="3"/>
  <c r="L91" i="3"/>
  <c r="M91" i="3"/>
  <c r="N91" i="3"/>
  <c r="K92" i="3"/>
  <c r="L92" i="3"/>
  <c r="M92" i="3"/>
  <c r="N92" i="3"/>
  <c r="K93" i="3"/>
  <c r="L93" i="3"/>
  <c r="M93" i="3"/>
  <c r="N93" i="3"/>
  <c r="K94" i="3"/>
  <c r="L94" i="3"/>
  <c r="M94" i="3"/>
  <c r="N94" i="3"/>
  <c r="K95" i="3"/>
  <c r="L95" i="3"/>
  <c r="M95" i="3"/>
  <c r="N95" i="3"/>
  <c r="K96" i="3"/>
  <c r="L96" i="3"/>
  <c r="M96" i="3"/>
  <c r="N96" i="3"/>
  <c r="K97" i="3"/>
  <c r="L97" i="3"/>
  <c r="M97" i="3"/>
  <c r="N97" i="3"/>
  <c r="K98" i="3"/>
  <c r="L98" i="3"/>
  <c r="M98" i="3"/>
  <c r="N98" i="3"/>
  <c r="K99" i="3"/>
  <c r="L99" i="3"/>
  <c r="M99" i="3"/>
  <c r="N99" i="3"/>
  <c r="K100" i="3"/>
  <c r="L100" i="3"/>
  <c r="M100" i="3"/>
  <c r="N100" i="3"/>
  <c r="K101" i="3"/>
  <c r="L101" i="3"/>
  <c r="M101" i="3"/>
  <c r="N101" i="3"/>
  <c r="K102" i="3"/>
  <c r="L102" i="3"/>
  <c r="M102" i="3"/>
  <c r="N102" i="3"/>
  <c r="K103" i="3"/>
  <c r="L103" i="3"/>
  <c r="M103" i="3"/>
  <c r="N103" i="3"/>
  <c r="K104" i="3"/>
  <c r="L104" i="3"/>
  <c r="M104" i="3"/>
  <c r="N104" i="3"/>
  <c r="K105" i="3"/>
  <c r="L105" i="3"/>
  <c r="M105" i="3"/>
  <c r="N105" i="3"/>
  <c r="N82" i="3"/>
  <c r="M82" i="3"/>
  <c r="L82" i="3"/>
  <c r="K82" i="3"/>
  <c r="DU89" i="1"/>
  <c r="DT89" i="1"/>
  <c r="M89" i="4" s="1"/>
  <c r="DS89" i="1"/>
  <c r="DO89" i="1"/>
  <c r="DN89" i="1"/>
  <c r="DM89" i="1"/>
  <c r="M89" i="3" s="1"/>
  <c r="HG110" i="4"/>
  <c r="HF110" i="4"/>
  <c r="HE110" i="4"/>
  <c r="HG110" i="3"/>
  <c r="HF110" i="3"/>
  <c r="HE110" i="3"/>
  <c r="EV106" i="1"/>
  <c r="EU106" i="1"/>
  <c r="ET106" i="1"/>
  <c r="ES106" i="1"/>
  <c r="ER106" i="1"/>
  <c r="EQ106" i="1"/>
  <c r="EP106" i="1"/>
  <c r="EO106" i="1"/>
  <c r="EN106" i="1"/>
  <c r="EM106" i="1"/>
  <c r="O106" i="3" s="1"/>
  <c r="EL106" i="1"/>
  <c r="EK106" i="1"/>
  <c r="EJ106" i="1"/>
  <c r="EI106" i="1"/>
  <c r="EH106" i="1"/>
  <c r="EG106" i="1"/>
  <c r="EF106" i="1"/>
  <c r="EE106" i="1"/>
  <c r="ED106" i="1"/>
  <c r="EC106" i="1"/>
  <c r="EB106" i="1"/>
  <c r="EA106" i="1"/>
  <c r="N106" i="3" s="1"/>
  <c r="DZ106" i="1"/>
  <c r="DT106" i="1"/>
  <c r="M106" i="4" s="1"/>
  <c r="DF106" i="1"/>
  <c r="DE106" i="1"/>
  <c r="DD106" i="1"/>
  <c r="DC106" i="1"/>
  <c r="DB106" i="1"/>
  <c r="DA106" i="1"/>
  <c r="L106" i="3" s="1"/>
  <c r="CZ106" i="1"/>
  <c r="CY106" i="1"/>
  <c r="CX106" i="1"/>
  <c r="CW106" i="1"/>
  <c r="CV106" i="1"/>
  <c r="CU106" i="1"/>
  <c r="CT106" i="1"/>
  <c r="CS106" i="1"/>
  <c r="CR106" i="1"/>
  <c r="CQ106" i="1"/>
  <c r="CP106" i="1"/>
  <c r="CO106" i="1"/>
  <c r="K106" i="3" s="1"/>
  <c r="CN106" i="1"/>
  <c r="CM106" i="1"/>
  <c r="CL106" i="1"/>
  <c r="CK106" i="1"/>
  <c r="CJ106" i="1"/>
  <c r="CI106" i="1"/>
  <c r="CH106" i="1"/>
  <c r="CG106" i="1"/>
  <c r="CF106" i="1"/>
  <c r="CE106" i="1"/>
  <c r="CD106" i="1"/>
  <c r="CC106" i="1"/>
  <c r="CB106" i="1"/>
  <c r="CA106" i="1"/>
  <c r="BZ106" i="1"/>
  <c r="BY106" i="1"/>
  <c r="BX106" i="1"/>
  <c r="BW106" i="1"/>
  <c r="BV106" i="1"/>
  <c r="BU106" i="1"/>
  <c r="BT106" i="1"/>
  <c r="BS106" i="1"/>
  <c r="BR106" i="1"/>
  <c r="BQ106" i="1"/>
  <c r="BP106" i="1"/>
  <c r="BO106" i="1"/>
  <c r="BL106" i="1"/>
  <c r="BK106" i="1"/>
  <c r="BJ106" i="1"/>
  <c r="BI106" i="1"/>
  <c r="BH106" i="1"/>
  <c r="BG106" i="1"/>
  <c r="BF106" i="1"/>
  <c r="BE106" i="1"/>
  <c r="BD106" i="1"/>
  <c r="BC106" i="1"/>
  <c r="BB106" i="1"/>
  <c r="BA106" i="1"/>
  <c r="AZ106" i="1"/>
  <c r="AY106" i="1"/>
  <c r="AX106" i="1"/>
  <c r="AW106" i="1"/>
  <c r="AV106" i="1"/>
  <c r="AU106" i="1"/>
  <c r="AT106" i="1"/>
  <c r="AS106" i="1"/>
  <c r="AR106" i="1"/>
  <c r="AQ106" i="1"/>
  <c r="AP106" i="1"/>
  <c r="AO106" i="1"/>
  <c r="AN106" i="1"/>
  <c r="AM106" i="1"/>
  <c r="AK106" i="1"/>
  <c r="AT101" i="1"/>
  <c r="AS101" i="1"/>
  <c r="EU89" i="1"/>
  <c r="EN89" i="1"/>
  <c r="EM89" i="1"/>
  <c r="O89" i="3" s="1"/>
  <c r="EI89" i="1"/>
  <c r="EH89" i="1"/>
  <c r="N89" i="3" s="1"/>
  <c r="EC89" i="1"/>
  <c r="EB89" i="1"/>
  <c r="DK89" i="1"/>
  <c r="DF89" i="1"/>
  <c r="DE89" i="1"/>
  <c r="DD89" i="1"/>
  <c r="DC89" i="1"/>
  <c r="L89" i="3" s="1"/>
  <c r="CN89" i="1"/>
  <c r="CL89" i="1"/>
  <c r="CK89" i="1"/>
  <c r="CJ89" i="1"/>
  <c r="CI89" i="1"/>
  <c r="J89" i="4" s="1"/>
  <c r="CH89" i="1"/>
  <c r="CG89" i="1"/>
  <c r="CF89" i="1"/>
  <c r="CD89" i="1"/>
  <c r="CC89" i="1"/>
  <c r="CA89" i="1"/>
  <c r="BZ89" i="1"/>
  <c r="BY89" i="1"/>
  <c r="BW89" i="1"/>
  <c r="BV89" i="1"/>
  <c r="BU89" i="1"/>
  <c r="BS89" i="1"/>
  <c r="BR89" i="1"/>
  <c r="BA89" i="1"/>
  <c r="AW89" i="1"/>
  <c r="AV89" i="1"/>
  <c r="AU89" i="1"/>
  <c r="AT89" i="1"/>
  <c r="AS89" i="1"/>
  <c r="AR89" i="1"/>
  <c r="AQ89" i="1"/>
  <c r="AP89" i="1"/>
  <c r="AO89" i="1"/>
  <c r="AN89" i="1"/>
  <c r="AM89" i="1"/>
  <c r="AL89" i="1"/>
  <c r="AF89" i="1"/>
  <c r="EM88" i="1"/>
  <c r="O88" i="3" s="1"/>
  <c r="BA88" i="1"/>
  <c r="AW88" i="1"/>
  <c r="AU88" i="1"/>
  <c r="AT88" i="1"/>
  <c r="AF88" i="1"/>
  <c r="AE88" i="1"/>
  <c r="AD88" i="1"/>
  <c r="CH83" i="1"/>
  <c r="CG83" i="1"/>
  <c r="CF83" i="1"/>
  <c r="CE83" i="1"/>
  <c r="CC83" i="1"/>
  <c r="CB83" i="1"/>
  <c r="CA83" i="1"/>
  <c r="BZ83" i="1"/>
  <c r="BY83" i="1"/>
  <c r="BX83" i="1"/>
  <c r="BW83" i="1"/>
  <c r="BV83" i="1"/>
  <c r="BU83" i="1"/>
  <c r="BT83" i="1"/>
  <c r="BS83" i="1"/>
  <c r="BR83" i="1"/>
  <c r="BQ83" i="1"/>
  <c r="BN83" i="1"/>
  <c r="BG83" i="1"/>
  <c r="BE83" i="1"/>
  <c r="BD83" i="1"/>
  <c r="M83" i="1"/>
  <c r="K83" i="1"/>
  <c r="J83" i="1"/>
  <c r="I83" i="1"/>
  <c r="BO82" i="1"/>
  <c r="J106" i="4"/>
  <c r="M106" i="3"/>
  <c r="K106" i="4"/>
  <c r="K89" i="4"/>
  <c r="L89" i="4"/>
</calcChain>
</file>

<file path=xl/sharedStrings.xml><?xml version="1.0" encoding="utf-8"?>
<sst xmlns="http://schemas.openxmlformats.org/spreadsheetml/2006/main" count="3258" uniqueCount="210">
  <si>
    <t xml:space="preserve">Total Exports </t>
  </si>
  <si>
    <t>1. Coffee (Value)</t>
  </si>
  <si>
    <t>Av. unit value</t>
  </si>
  <si>
    <t>2. Non-Coffee formal exports</t>
  </si>
  <si>
    <t>Electricity</t>
  </si>
  <si>
    <t>Gold</t>
  </si>
  <si>
    <t>Cotton</t>
  </si>
  <si>
    <t>Tea</t>
  </si>
  <si>
    <t>Tobacco</t>
  </si>
  <si>
    <t>Fish &amp; its prod. (excl. regional)</t>
  </si>
  <si>
    <t>Hides &amp; skins</t>
  </si>
  <si>
    <t>Simsim</t>
  </si>
  <si>
    <t>Maize</t>
  </si>
  <si>
    <t>Beans</t>
  </si>
  <si>
    <t>Flowers</t>
  </si>
  <si>
    <t>Oil re-exports</t>
  </si>
  <si>
    <t>Cobalt</t>
  </si>
  <si>
    <t>Others</t>
  </si>
  <si>
    <t>3. ICBT Exports</t>
  </si>
  <si>
    <t>Breakdown of "Others" above</t>
  </si>
  <si>
    <t>Baker's wares</t>
  </si>
  <si>
    <t>Base Metals &amp; Products</t>
  </si>
  <si>
    <t>Beer</t>
  </si>
  <si>
    <t>Cellular Phones</t>
  </si>
  <si>
    <t>Cement</t>
  </si>
  <si>
    <t>Cocoa Beans</t>
  </si>
  <si>
    <t>Cotton Liners</t>
  </si>
  <si>
    <t>Crude oil (excl petroleum products) 3/</t>
  </si>
  <si>
    <t>Edible Fats and Oils</t>
  </si>
  <si>
    <t>Fruits &amp; Vegetables</t>
  </si>
  <si>
    <t>Groundnuts</t>
  </si>
  <si>
    <t>Other Pulses     1/</t>
  </si>
  <si>
    <t>Papain</t>
  </si>
  <si>
    <t>Plastic Products</t>
  </si>
  <si>
    <t>Rice</t>
  </si>
  <si>
    <t>Soap</t>
  </si>
  <si>
    <t>Sugar</t>
  </si>
  <si>
    <t>Textiles</t>
  </si>
  <si>
    <t>Vanilla</t>
  </si>
  <si>
    <t>Water</t>
  </si>
  <si>
    <t>Other Exports     2/</t>
  </si>
  <si>
    <t>Note:</t>
  </si>
  <si>
    <t xml:space="preserve">           1/   Soya beans are captured under Other Pulses</t>
  </si>
  <si>
    <t xml:space="preserve">           2/   Other exports include a variety of items defined in various units hence quantities are not included</t>
  </si>
  <si>
    <t xml:space="preserve">           3/   Includes crude from simsim, sunflower, palm, etc, and excludes petroleum products</t>
  </si>
  <si>
    <t>Total ICBT</t>
  </si>
  <si>
    <t>Other grains</t>
  </si>
  <si>
    <t>Bananas</t>
  </si>
  <si>
    <t>Other agricultural commodities</t>
  </si>
  <si>
    <t>Fish</t>
  </si>
  <si>
    <t>Industrial products</t>
  </si>
  <si>
    <t>Other products</t>
  </si>
  <si>
    <t>ICBT Less ICBT Fish</t>
  </si>
  <si>
    <t>Q1</t>
  </si>
  <si>
    <t>Q2</t>
  </si>
  <si>
    <t>Q3</t>
  </si>
  <si>
    <t>Q4</t>
  </si>
  <si>
    <t>98/99</t>
  </si>
  <si>
    <t>99/00</t>
  </si>
  <si>
    <t>00/01</t>
  </si>
  <si>
    <t>01/02</t>
  </si>
  <si>
    <t>02/03</t>
  </si>
  <si>
    <t>03/04</t>
  </si>
  <si>
    <t>04/05</t>
  </si>
  <si>
    <t>05/06</t>
  </si>
  <si>
    <t>06/07</t>
  </si>
  <si>
    <t>07/08</t>
  </si>
  <si>
    <t>08/09</t>
  </si>
  <si>
    <t>09/10</t>
  </si>
  <si>
    <t>10/11</t>
  </si>
  <si>
    <t>CY</t>
  </si>
  <si>
    <t>1997</t>
  </si>
  <si>
    <t>1998</t>
  </si>
  <si>
    <t>1999</t>
  </si>
  <si>
    <t>2000</t>
  </si>
  <si>
    <t>2001</t>
  </si>
  <si>
    <t>2002</t>
  </si>
  <si>
    <t>Total Exports  (in US$ million)</t>
  </si>
  <si>
    <t>FY</t>
  </si>
  <si>
    <t>97/98</t>
  </si>
  <si>
    <t>Composition of Exports</t>
  </si>
  <si>
    <t>Volume ( tons unless otherwise stated)</t>
  </si>
  <si>
    <t>UNITS</t>
  </si>
  <si>
    <t>Coffee (60 kg bags)</t>
  </si>
  <si>
    <t xml:space="preserve"> </t>
  </si>
  <si>
    <t>Cotton (185 kg Bales)</t>
  </si>
  <si>
    <t xml:space="preserve">...  </t>
  </si>
  <si>
    <t xml:space="preserve"> ...     </t>
  </si>
  <si>
    <t xml:space="preserve">Tea    </t>
  </si>
  <si>
    <t>Tons</t>
  </si>
  <si>
    <t xml:space="preserve">Tobacco   </t>
  </si>
  <si>
    <t xml:space="preserve">Beans  </t>
  </si>
  <si>
    <t>Other Pulses</t>
  </si>
  <si>
    <t>…</t>
  </si>
  <si>
    <t xml:space="preserve">Sorghum </t>
  </si>
  <si>
    <t xml:space="preserve">    -</t>
  </si>
  <si>
    <t>Fish &amp; its Products</t>
  </si>
  <si>
    <t>Hides &amp; Skins</t>
  </si>
  <si>
    <t>Vanilla (Kgs)</t>
  </si>
  <si>
    <t>Gold (Kgs)</t>
  </si>
  <si>
    <t xml:space="preserve"> (GM)</t>
  </si>
  <si>
    <t xml:space="preserve">       -</t>
  </si>
  <si>
    <t>Edible Fats &amp; Oils</t>
  </si>
  <si>
    <t>Petroleum Products ('000 litres)</t>
  </si>
  <si>
    <t>MWH</t>
  </si>
  <si>
    <t>4.781.08</t>
  </si>
  <si>
    <t xml:space="preserve">           1/   Other Pulses includes soya beans and groundnuts</t>
  </si>
  <si>
    <t xml:space="preserve">           2/   Cereals includes maize and sorghum</t>
  </si>
  <si>
    <t xml:space="preserve">           3/ Figures are extracted from URA except for Coffee and Electricity which are obtained from UCDA and Uganda Electricity Transmission Company respectively</t>
  </si>
  <si>
    <t xml:space="preserve">           4/ 'Others' include vehicles and trucks, tractors, motor vehicle spares, construction equiptment, agricultural tools, used clothing, induastrial parts, packing materials, cement, beer,electrical items etc.</t>
  </si>
  <si>
    <t>Source: Coffee Marketing Board, Unex, Lint Marketing Board, Uganda Tea Authority, Produce Marketing Board, BAT(U) Ltd  and  Bank of Uganda</t>
  </si>
  <si>
    <t>… -Unavailable</t>
  </si>
  <si>
    <t>Composition of Exports_Values (US$ millions)</t>
  </si>
  <si>
    <t>Volumes ( tons unless otherwise stated)</t>
  </si>
  <si>
    <t>Volumes ( Tons unless otherwise stated)</t>
  </si>
  <si>
    <t>93/94</t>
  </si>
  <si>
    <t>94/95</t>
  </si>
  <si>
    <t>95/96</t>
  </si>
  <si>
    <t>96/97</t>
  </si>
  <si>
    <t xml:space="preserve">                    1991</t>
  </si>
  <si>
    <t xml:space="preserve">                    1992</t>
  </si>
  <si>
    <t xml:space="preserve">                    1993</t>
  </si>
  <si>
    <t xml:space="preserve">                    1994</t>
  </si>
  <si>
    <t xml:space="preserve">                    1995</t>
  </si>
  <si>
    <t xml:space="preserve">                    1996</t>
  </si>
  <si>
    <t xml:space="preserve">                    1997</t>
  </si>
  <si>
    <t xml:space="preserve">                    1998</t>
  </si>
  <si>
    <t xml:space="preserve">                    1999</t>
  </si>
  <si>
    <t xml:space="preserve">                    2000</t>
  </si>
  <si>
    <t xml:space="preserve">                    2001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</si>
  <si>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</si>
  <si>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</si>
  <si>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</si>
  <si>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</si>
  <si>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</si>
  <si>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</si>
  <si>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</si>
  <si>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</si>
  <si>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</si>
  <si>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1994</t>
  </si>
  <si>
    <t>1995</t>
  </si>
  <si>
    <t>1996</t>
  </si>
  <si>
    <t>1991</t>
  </si>
  <si>
    <t>1992</t>
  </si>
  <si>
    <t>1993</t>
  </si>
  <si>
    <t>Sorghum</t>
  </si>
  <si>
    <t>91/92</t>
  </si>
  <si>
    <t>92/93</t>
  </si>
  <si>
    <t>Exports of merchandise in values (US$ millions)</t>
  </si>
  <si>
    <t xml:space="preserve"> Tons</t>
  </si>
  <si>
    <t>-</t>
  </si>
  <si>
    <t xml:space="preserve"> ('000 Kgs)</t>
  </si>
  <si>
    <t>Vanilla ('000 Kgs)</t>
  </si>
  <si>
    <t>11/12</t>
  </si>
  <si>
    <t>Fish &amp; its Products*</t>
  </si>
  <si>
    <t xml:space="preserve">           * - Volumes of "Fish and its products" above exclude those for fish products exported to the region through informal cross-border trade. </t>
  </si>
  <si>
    <t>2012</t>
  </si>
  <si>
    <t>Formal Exports</t>
  </si>
  <si>
    <r>
      <t>M</t>
    </r>
    <r>
      <rPr>
        <vertAlign val="superscript"/>
        <sz val="12"/>
        <color indexed="8"/>
        <rFont val="Garamond"/>
        <family val="1"/>
      </rPr>
      <t>3</t>
    </r>
  </si>
  <si>
    <t>12/13</t>
  </si>
  <si>
    <t>Beer (mls)</t>
  </si>
  <si>
    <t>2013</t>
  </si>
  <si>
    <t>Petroleum Products (millions of litres)</t>
  </si>
  <si>
    <t>Electricity ('MWH)</t>
  </si>
  <si>
    <t>13/14</t>
  </si>
  <si>
    <t>Table of Contents</t>
  </si>
  <si>
    <t>Click the worksheet name for data</t>
  </si>
  <si>
    <t>Worksheet Name</t>
  </si>
  <si>
    <t>Description of data</t>
  </si>
  <si>
    <t>Frequency</t>
  </si>
  <si>
    <t>Latest Data for</t>
  </si>
  <si>
    <t>Monthly</t>
  </si>
  <si>
    <t>Release Date:</t>
  </si>
  <si>
    <t>Next Release Date:</t>
  </si>
  <si>
    <t>Excel File Name:</t>
  </si>
  <si>
    <t>Available from Web Page:</t>
  </si>
  <si>
    <t>http://www.bou.or.ug/bou/rates_statistics/statistics.html</t>
  </si>
  <si>
    <t>Source:</t>
  </si>
  <si>
    <t>Bank of Uganda</t>
  </si>
  <si>
    <t>For Help, Contact:</t>
  </si>
  <si>
    <t>statistics_dissemination@bou.or.ug</t>
  </si>
  <si>
    <t>(256) 414 258441</t>
  </si>
  <si>
    <t>Back to the Table of Contents</t>
  </si>
  <si>
    <t>Composition of Exports_Values and Volumes</t>
  </si>
  <si>
    <t>Composition of Exports_Values and Volumes.xlsx</t>
  </si>
  <si>
    <t>Quarterly</t>
  </si>
  <si>
    <t>Annual</t>
  </si>
  <si>
    <t>X-Monthly</t>
  </si>
  <si>
    <t>Monthly volumes and values of exports of goods</t>
  </si>
  <si>
    <t>Quarterly volumes and values of exports of goods</t>
  </si>
  <si>
    <t>Annual calendar year volumes and values of exports of goods</t>
  </si>
  <si>
    <t>Annual financial year volumes and values of exports of goods</t>
  </si>
  <si>
    <t>X-Quarterly</t>
  </si>
  <si>
    <t>X-CY</t>
  </si>
  <si>
    <t>X-FY</t>
  </si>
  <si>
    <t>2014</t>
  </si>
  <si>
    <t>2015</t>
  </si>
  <si>
    <t>14/15</t>
  </si>
  <si>
    <t>15/16</t>
  </si>
  <si>
    <t>Volume ('000,000 60-Kg bags)</t>
  </si>
  <si>
    <t>2016</t>
  </si>
  <si>
    <t>16/17</t>
  </si>
  <si>
    <t>2017</t>
  </si>
  <si>
    <t>17/18</t>
  </si>
  <si>
    <t>2018</t>
  </si>
  <si>
    <t>2017/18</t>
  </si>
  <si>
    <t>18/19</t>
  </si>
  <si>
    <t>5th Febuary 2019</t>
  </si>
  <si>
    <t>December 2018</t>
  </si>
  <si>
    <t>5th March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</si>
</sst>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0.000"/>
    <numFmt numFmtId="165" formatCode="[$-409]mmm\-yy;@"/>
    <numFmt numFmtId="166" formatCode="0.0%"/>
    <numFmt numFmtId="167" formatCode="0.00_)"/>
    <numFmt numFmtId="168" formatCode="_(* #,##0_);_(* \(#,##0\);_(* &quot;-&quot;??_);_(@_)"/>
    <numFmt numFmtId="169" formatCode="#,##0.0_);\(#,##0.0\)"/>
    <numFmt numFmtId="170" formatCode="#,##0.0"/>
    <numFmt numFmtId="171" formatCode="0.0_)"/>
    <numFmt numFmtId="172" formatCode="[$-409]dd\-mmm\-yy;@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name val="Garamond"/>
      <family val="1"/>
    </font>
    <font>
      <sz val="12"/>
      <name val="Garamond"/>
      <family val="1"/>
    </font>
    <font>
      <sz val="12"/>
      <color theme="1"/>
      <name val="Garamond"/>
      <family val="1"/>
    </font>
    <font>
      <b/>
      <i/>
      <sz val="12"/>
      <name val="Garamond"/>
      <family val="1"/>
    </font>
    <font>
      <b/>
      <sz val="12"/>
      <color theme="1"/>
      <name val="Garamond"/>
      <family val="1"/>
    </font>
    <font>
      <b/>
      <sz val="12"/>
      <color indexed="10"/>
      <name val="Garamond"/>
      <family val="1"/>
    </font>
    <font>
      <vertAlign val="superscript"/>
      <sz val="12"/>
      <color indexed="8"/>
      <name val="Garamond"/>
      <family val="1"/>
    </font>
    <font>
      <sz val="12"/>
      <color indexed="8"/>
      <name val="Garamond"/>
      <family val="1"/>
    </font>
    <font>
      <sz val="12"/>
      <color rgb="FFFF0000"/>
      <name val="Garamond"/>
      <family val="1"/>
    </font>
    <font>
      <b/>
      <sz val="16"/>
      <name val="Garamond"/>
      <family val="1"/>
    </font>
    <font>
      <b/>
      <sz val="16"/>
      <color theme="1"/>
      <name val="Garamond"/>
      <family val="1"/>
    </font>
    <font>
      <b/>
      <sz val="14"/>
      <color rgb="FF002060"/>
      <name val="Garamond"/>
      <family val="1"/>
    </font>
    <font>
      <b/>
      <i/>
      <sz val="14"/>
      <color rgb="FF7030A0"/>
      <name val="Garamond"/>
      <family val="1"/>
    </font>
    <font>
      <b/>
      <sz val="12"/>
      <color theme="0"/>
      <name val="Garamond"/>
      <family val="1"/>
    </font>
    <font>
      <u/>
      <sz val="11"/>
      <color theme="10"/>
      <name val="Calibri"/>
      <family val="2"/>
    </font>
    <font>
      <u/>
      <sz val="12"/>
      <color theme="10"/>
      <name val="Garamond"/>
      <family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 style="thin">
        <color indexed="64"/>
      </left>
      <right/>
      <top style="thin">
        <color indexed="8"/>
      </top>
      <bottom style="double">
        <color indexed="64"/>
      </bottom>
      <diagonal/>
    </border>
    <border>
      <left/>
      <right style="thin">
        <color indexed="64"/>
      </right>
      <top style="thin">
        <color indexed="8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theme="1"/>
      </top>
      <bottom/>
      <diagonal/>
    </border>
    <border>
      <left style="thin">
        <color indexed="8"/>
      </left>
      <right style="thin">
        <color indexed="8"/>
      </right>
      <top style="thin">
        <color theme="1"/>
      </top>
      <bottom/>
      <diagonal/>
    </border>
    <border>
      <left/>
      <right/>
      <top/>
      <bottom style="double">
        <color theme="1"/>
      </bottom>
      <diagonal/>
    </border>
    <border>
      <left style="thin">
        <color indexed="8"/>
      </left>
      <right style="thin">
        <color indexed="8"/>
      </right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 style="thin">
        <color indexed="8"/>
      </right>
      <top/>
      <bottom style="slantDashDot">
        <color theme="1"/>
      </bottom>
      <diagonal/>
    </border>
    <border>
      <left/>
      <right/>
      <top/>
      <bottom style="slantDashDot">
        <color theme="1"/>
      </bottom>
      <diagonal/>
    </border>
    <border>
      <left/>
      <right style="thin">
        <color indexed="64"/>
      </right>
      <top/>
      <bottom style="slantDashDot">
        <color theme="1"/>
      </bottom>
      <diagonal/>
    </border>
    <border>
      <left style="double">
        <color theme="1"/>
      </left>
      <right style="double">
        <color theme="1"/>
      </right>
      <top style="double">
        <color theme="1"/>
      </top>
      <bottom/>
      <diagonal/>
    </border>
    <border>
      <left style="double">
        <color theme="1"/>
      </left>
      <right style="double">
        <color theme="1"/>
      </right>
      <top/>
      <bottom/>
      <diagonal/>
    </border>
    <border>
      <left style="double">
        <color theme="1"/>
      </left>
      <right style="double">
        <color theme="1"/>
      </right>
      <top/>
      <bottom style="slantDashDot">
        <color theme="1"/>
      </bottom>
      <diagonal/>
    </border>
    <border>
      <left style="thin">
        <color indexed="8"/>
      </left>
      <right style="thin">
        <color indexed="64"/>
      </right>
      <top/>
      <bottom style="double">
        <color theme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</cellStyleXfs>
  <cellXfs count="156">
    <xf numFmtId="0" fontId="0" fillId="0" borderId="0" xfId="0"/>
    <xf numFmtId="164" fontId="3" fillId="0" borderId="0" xfId="0" applyNumberFormat="1" applyFont="1" applyFill="1"/>
    <xf numFmtId="164" fontId="4" fillId="0" borderId="0" xfId="0" applyNumberFormat="1" applyFont="1" applyFill="1"/>
    <xf numFmtId="164" fontId="4" fillId="0" borderId="0" xfId="0" applyNumberFormat="1" applyFont="1" applyFill="1" applyProtection="1"/>
    <xf numFmtId="0" fontId="5" fillId="0" borderId="0" xfId="0" applyFont="1" applyFill="1"/>
    <xf numFmtId="2" fontId="6" fillId="3" borderId="1" xfId="2" applyNumberFormat="1" applyFont="1" applyFill="1" applyBorder="1" applyProtection="1">
      <protection locked="0"/>
    </xf>
    <xf numFmtId="165" fontId="3" fillId="2" borderId="1" xfId="0" applyNumberFormat="1" applyFont="1" applyFill="1" applyBorder="1" applyAlignment="1" applyProtection="1">
      <alignment horizontal="center"/>
    </xf>
    <xf numFmtId="164" fontId="3" fillId="2" borderId="2" xfId="0" applyNumberFormat="1" applyFont="1" applyFill="1" applyBorder="1"/>
    <xf numFmtId="4" fontId="3" fillId="3" borderId="0" xfId="0" applyNumberFormat="1" applyFont="1" applyFill="1"/>
    <xf numFmtId="4" fontId="3" fillId="0" borderId="0" xfId="0" applyNumberFormat="1" applyFont="1" applyFill="1"/>
    <xf numFmtId="2" fontId="3" fillId="0" borderId="0" xfId="0" applyNumberFormat="1" applyFont="1" applyFill="1"/>
    <xf numFmtId="2" fontId="3" fillId="3" borderId="0" xfId="0" applyNumberFormat="1" applyFont="1" applyFill="1"/>
    <xf numFmtId="2" fontId="7" fillId="0" borderId="0" xfId="0" applyNumberFormat="1" applyFont="1"/>
    <xf numFmtId="4" fontId="4" fillId="3" borderId="0" xfId="0" applyNumberFormat="1" applyFont="1" applyFill="1"/>
    <xf numFmtId="4" fontId="4" fillId="0" borderId="0" xfId="0" applyNumberFormat="1" applyFont="1" applyFill="1"/>
    <xf numFmtId="164" fontId="4" fillId="0" borderId="2" xfId="0" applyNumberFormat="1" applyFont="1" applyFill="1" applyBorder="1"/>
    <xf numFmtId="4" fontId="4" fillId="3" borderId="2" xfId="0" applyNumberFormat="1" applyFont="1" applyFill="1" applyBorder="1"/>
    <xf numFmtId="4" fontId="4" fillId="0" borderId="2" xfId="0" applyNumberFormat="1" applyFont="1" applyFill="1" applyBorder="1"/>
    <xf numFmtId="164" fontId="4" fillId="0" borderId="0" xfId="0" applyNumberFormat="1" applyFont="1" applyFill="1" applyAlignment="1">
      <alignment horizontal="left" indent="2"/>
    </xf>
    <xf numFmtId="164" fontId="4" fillId="0" borderId="0" xfId="0" applyNumberFormat="1" applyFont="1" applyFill="1" applyAlignment="1"/>
    <xf numFmtId="164" fontId="4" fillId="0" borderId="0" xfId="0" applyNumberFormat="1" applyFont="1" applyFill="1" applyBorder="1"/>
    <xf numFmtId="164" fontId="4" fillId="0" borderId="0" xfId="0" applyNumberFormat="1" applyFont="1" applyFill="1" applyBorder="1" applyAlignment="1"/>
    <xf numFmtId="164" fontId="8" fillId="0" borderId="0" xfId="0" applyNumberFormat="1" applyFont="1" applyFill="1"/>
    <xf numFmtId="4" fontId="8" fillId="0" borderId="0" xfId="0" applyNumberFormat="1" applyFont="1" applyFill="1"/>
    <xf numFmtId="0" fontId="4" fillId="0" borderId="0" xfId="0" applyFont="1" applyFill="1" applyProtection="1"/>
    <xf numFmtId="166" fontId="4" fillId="0" borderId="0" xfId="3" applyNumberFormat="1" applyFont="1" applyFill="1"/>
    <xf numFmtId="164" fontId="3" fillId="0" borderId="0" xfId="0" applyNumberFormat="1" applyFont="1" applyFill="1" applyAlignment="1"/>
    <xf numFmtId="164" fontId="4" fillId="5" borderId="0" xfId="0" applyNumberFormat="1" applyFont="1" applyFill="1"/>
    <xf numFmtId="0" fontId="5" fillId="0" borderId="0" xfId="0" applyFont="1"/>
    <xf numFmtId="167" fontId="5" fillId="0" borderId="0" xfId="0" applyNumberFormat="1" applyFont="1"/>
    <xf numFmtId="167" fontId="7" fillId="0" borderId="0" xfId="0" applyNumberFormat="1" applyFont="1" applyProtection="1"/>
    <xf numFmtId="171" fontId="5" fillId="0" borderId="0" xfId="0" applyNumberFormat="1" applyFont="1"/>
    <xf numFmtId="43" fontId="5" fillId="0" borderId="0" xfId="1" applyFont="1"/>
    <xf numFmtId="167" fontId="5" fillId="0" borderId="0" xfId="0" applyNumberFormat="1" applyFont="1" applyProtection="1"/>
    <xf numFmtId="167" fontId="7" fillId="4" borderId="18" xfId="0" applyNumberFormat="1" applyFont="1" applyFill="1" applyBorder="1" applyProtection="1"/>
    <xf numFmtId="17" fontId="7" fillId="4" borderId="19" xfId="0" applyNumberFormat="1" applyFont="1" applyFill="1" applyBorder="1" applyAlignment="1">
      <alignment horizontal="center"/>
    </xf>
    <xf numFmtId="17" fontId="7" fillId="4" borderId="18" xfId="0" applyNumberFormat="1" applyFont="1" applyFill="1" applyBorder="1"/>
    <xf numFmtId="167" fontId="7" fillId="4" borderId="18" xfId="0" applyNumberFormat="1" applyFont="1" applyFill="1" applyBorder="1"/>
    <xf numFmtId="167" fontId="7" fillId="4" borderId="20" xfId="0" applyNumberFormat="1" applyFont="1" applyFill="1" applyBorder="1" applyProtection="1"/>
    <xf numFmtId="167" fontId="7" fillId="4" borderId="21" xfId="0" applyNumberFormat="1" applyFont="1" applyFill="1" applyBorder="1" applyProtection="1"/>
    <xf numFmtId="167" fontId="7" fillId="4" borderId="20" xfId="0" applyNumberFormat="1" applyFont="1" applyFill="1" applyBorder="1"/>
    <xf numFmtId="167" fontId="5" fillId="0" borderId="3" xfId="0" applyNumberFormat="1" applyFont="1" applyBorder="1"/>
    <xf numFmtId="164" fontId="5" fillId="0" borderId="3" xfId="0" applyNumberFormat="1" applyFont="1" applyBorder="1"/>
    <xf numFmtId="168" fontId="5" fillId="0" borderId="0" xfId="1" applyNumberFormat="1" applyFont="1"/>
    <xf numFmtId="168" fontId="5" fillId="0" borderId="0" xfId="1" applyNumberFormat="1" applyFont="1" applyAlignment="1">
      <alignment horizontal="right"/>
    </xf>
    <xf numFmtId="168" fontId="5" fillId="0" borderId="0" xfId="1" applyNumberFormat="1" applyFont="1" applyFill="1"/>
    <xf numFmtId="164" fontId="5" fillId="0" borderId="3" xfId="0" applyNumberFormat="1" applyFont="1" applyBorder="1" applyProtection="1"/>
    <xf numFmtId="167" fontId="5" fillId="0" borderId="22" xfId="0" applyNumberFormat="1" applyFont="1" applyBorder="1" applyProtection="1"/>
    <xf numFmtId="167" fontId="5" fillId="0" borderId="0" xfId="0" applyNumberFormat="1" applyFont="1" applyBorder="1" applyProtection="1"/>
    <xf numFmtId="168" fontId="5" fillId="0" borderId="5" xfId="1" applyNumberFormat="1" applyFont="1" applyBorder="1"/>
    <xf numFmtId="164" fontId="5" fillId="0" borderId="0" xfId="0" applyNumberFormat="1" applyFont="1" applyBorder="1" applyProtection="1"/>
    <xf numFmtId="167" fontId="5" fillId="0" borderId="23" xfId="0" applyNumberFormat="1" applyFont="1" applyBorder="1" applyProtection="1"/>
    <xf numFmtId="167" fontId="5" fillId="0" borderId="24" xfId="0" applyNumberFormat="1" applyFont="1" applyBorder="1" applyProtection="1"/>
    <xf numFmtId="167" fontId="5" fillId="0" borderId="24" xfId="0" applyNumberFormat="1" applyFont="1" applyBorder="1"/>
    <xf numFmtId="164" fontId="10" fillId="0" borderId="0" xfId="0" applyNumberFormat="1" applyFont="1" applyFill="1" applyProtection="1"/>
    <xf numFmtId="2" fontId="3" fillId="2" borderId="1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2" fontId="3" fillId="2" borderId="2" xfId="0" quotePrefix="1" applyNumberFormat="1" applyFont="1" applyFill="1" applyBorder="1" applyAlignment="1">
      <alignment horizontal="center"/>
    </xf>
    <xf numFmtId="4" fontId="3" fillId="6" borderId="0" xfId="0" applyNumberFormat="1" applyFont="1" applyFill="1"/>
    <xf numFmtId="4" fontId="4" fillId="6" borderId="0" xfId="0" applyNumberFormat="1" applyFont="1" applyFill="1"/>
    <xf numFmtId="164" fontId="4" fillId="6" borderId="0" xfId="0" applyNumberFormat="1" applyFont="1" applyFill="1"/>
    <xf numFmtId="4" fontId="4" fillId="6" borderId="2" xfId="0" applyNumberFormat="1" applyFont="1" applyFill="1" applyBorder="1"/>
    <xf numFmtId="0" fontId="5" fillId="5" borderId="0" xfId="0" applyFont="1" applyFill="1"/>
    <xf numFmtId="167" fontId="3" fillId="0" borderId="0" xfId="0" applyNumberFormat="1" applyFont="1" applyProtection="1"/>
    <xf numFmtId="167" fontId="4" fillId="0" borderId="0" xfId="0" applyNumberFormat="1" applyFont="1"/>
    <xf numFmtId="167" fontId="4" fillId="0" borderId="0" xfId="0" applyNumberFormat="1" applyFont="1" applyProtection="1"/>
    <xf numFmtId="167" fontId="3" fillId="3" borderId="1" xfId="0" applyNumberFormat="1" applyFont="1" applyFill="1" applyBorder="1" applyProtection="1"/>
    <xf numFmtId="167" fontId="3" fillId="3" borderId="9" xfId="0" applyNumberFormat="1" applyFont="1" applyFill="1" applyBorder="1" applyProtection="1"/>
    <xf numFmtId="49" fontId="3" fillId="3" borderId="1" xfId="0" applyNumberFormat="1" applyFont="1" applyFill="1" applyBorder="1" applyAlignment="1" applyProtection="1">
      <alignment horizontal="right"/>
    </xf>
    <xf numFmtId="167" fontId="3" fillId="3" borderId="1" xfId="0" applyNumberFormat="1" applyFont="1" applyFill="1" applyBorder="1"/>
    <xf numFmtId="167" fontId="3" fillId="3" borderId="10" xfId="0" applyNumberFormat="1" applyFont="1" applyFill="1" applyBorder="1" applyProtection="1"/>
    <xf numFmtId="167" fontId="3" fillId="3" borderId="11" xfId="0" applyNumberFormat="1" applyFont="1" applyFill="1" applyBorder="1" applyAlignment="1" applyProtection="1">
      <alignment horizontal="right"/>
    </xf>
    <xf numFmtId="167" fontId="3" fillId="3" borderId="12" xfId="0" applyNumberFormat="1" applyFont="1" applyFill="1" applyBorder="1" applyAlignment="1" applyProtection="1">
      <alignment horizontal="right"/>
    </xf>
    <xf numFmtId="167" fontId="3" fillId="3" borderId="13" xfId="0" applyNumberFormat="1" applyFont="1" applyFill="1" applyBorder="1" applyAlignment="1" applyProtection="1">
      <alignment horizontal="right"/>
    </xf>
    <xf numFmtId="167" fontId="3" fillId="3" borderId="10" xfId="0" applyNumberFormat="1" applyFont="1" applyFill="1" applyBorder="1"/>
    <xf numFmtId="167" fontId="4" fillId="0" borderId="5" xfId="0" applyNumberFormat="1" applyFont="1" applyBorder="1" applyProtection="1"/>
    <xf numFmtId="167" fontId="4" fillId="0" borderId="5" xfId="0" applyNumberFormat="1" applyFont="1" applyBorder="1"/>
    <xf numFmtId="167" fontId="4" fillId="0" borderId="0" xfId="0" applyNumberFormat="1" applyFont="1" applyBorder="1"/>
    <xf numFmtId="167" fontId="4" fillId="0" borderId="8" xfId="0" applyNumberFormat="1" applyFont="1" applyBorder="1"/>
    <xf numFmtId="169" fontId="4" fillId="0" borderId="0" xfId="0" applyNumberFormat="1" applyFont="1" applyAlignment="1" applyProtection="1">
      <alignment horizontal="right"/>
    </xf>
    <xf numFmtId="169" fontId="4" fillId="0" borderId="5" xfId="0" applyNumberFormat="1" applyFont="1" applyBorder="1" applyAlignment="1" applyProtection="1">
      <alignment horizontal="right"/>
    </xf>
    <xf numFmtId="169" fontId="4" fillId="0" borderId="0" xfId="0" applyNumberFormat="1" applyFont="1" applyBorder="1" applyAlignment="1" applyProtection="1">
      <alignment horizontal="right"/>
    </xf>
    <xf numFmtId="170" fontId="4" fillId="0" borderId="5" xfId="0" applyNumberFormat="1" applyFont="1" applyBorder="1" applyAlignment="1">
      <alignment horizontal="right"/>
    </xf>
    <xf numFmtId="170" fontId="4" fillId="0" borderId="0" xfId="0" applyNumberFormat="1" applyFont="1" applyAlignment="1">
      <alignment horizontal="right"/>
    </xf>
    <xf numFmtId="170" fontId="4" fillId="0" borderId="0" xfId="0" applyNumberFormat="1" applyFont="1" applyBorder="1" applyAlignment="1">
      <alignment horizontal="right"/>
    </xf>
    <xf numFmtId="3" fontId="4" fillId="0" borderId="5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 applyBorder="1"/>
    <xf numFmtId="3" fontId="4" fillId="0" borderId="8" xfId="0" applyNumberFormat="1" applyFont="1" applyBorder="1"/>
    <xf numFmtId="167" fontId="4" fillId="0" borderId="4" xfId="0" applyNumberFormat="1" applyFont="1" applyBorder="1" applyProtection="1"/>
    <xf numFmtId="167" fontId="4" fillId="0" borderId="6" xfId="0" applyNumberFormat="1" applyFont="1" applyBorder="1" applyProtection="1"/>
    <xf numFmtId="167" fontId="4" fillId="0" borderId="14" xfId="0" applyNumberFormat="1" applyFont="1" applyBorder="1" applyProtection="1"/>
    <xf numFmtId="164" fontId="3" fillId="4" borderId="1" xfId="0" applyNumberFormat="1" applyFont="1" applyFill="1" applyBorder="1" applyAlignment="1">
      <alignment horizontal="center"/>
    </xf>
    <xf numFmtId="0" fontId="5" fillId="4" borderId="0" xfId="0" applyFont="1" applyFill="1"/>
    <xf numFmtId="164" fontId="3" fillId="4" borderId="0" xfId="0" quotePrefix="1" applyNumberFormat="1" applyFont="1" applyFill="1" applyBorder="1" applyAlignment="1">
      <alignment horizontal="center"/>
    </xf>
    <xf numFmtId="164" fontId="3" fillId="4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Border="1"/>
    <xf numFmtId="4" fontId="3" fillId="0" borderId="0" xfId="0" applyNumberFormat="1" applyFont="1" applyFill="1" applyBorder="1"/>
    <xf numFmtId="4" fontId="3" fillId="3" borderId="0" xfId="0" applyNumberFormat="1" applyFont="1" applyFill="1" applyBorder="1"/>
    <xf numFmtId="4" fontId="4" fillId="0" borderId="0" xfId="0" applyNumberFormat="1" applyFont="1" applyFill="1" applyBorder="1"/>
    <xf numFmtId="4" fontId="4" fillId="3" borderId="0" xfId="0" applyNumberFormat="1" applyFont="1" applyFill="1" applyBorder="1"/>
    <xf numFmtId="164" fontId="4" fillId="0" borderId="0" xfId="0" applyNumberFormat="1" applyFont="1" applyFill="1" applyBorder="1" applyProtection="1"/>
    <xf numFmtId="0" fontId="4" fillId="0" borderId="0" xfId="0" applyFont="1" applyFill="1" applyBorder="1" applyProtection="1"/>
    <xf numFmtId="164" fontId="3" fillId="0" borderId="0" xfId="0" applyNumberFormat="1" applyFont="1" applyFill="1" applyBorder="1" applyAlignment="1"/>
    <xf numFmtId="164" fontId="4" fillId="5" borderId="0" xfId="0" applyNumberFormat="1" applyFont="1" applyFill="1" applyBorder="1"/>
    <xf numFmtId="167" fontId="7" fillId="4" borderId="18" xfId="0" applyNumberFormat="1" applyFont="1" applyFill="1" applyBorder="1" applyAlignment="1" applyProtection="1">
      <alignment horizontal="center"/>
    </xf>
    <xf numFmtId="17" fontId="7" fillId="4" borderId="18" xfId="0" quotePrefix="1" applyNumberFormat="1" applyFont="1" applyFill="1" applyBorder="1" applyAlignment="1">
      <alignment horizontal="center"/>
    </xf>
    <xf numFmtId="17" fontId="7" fillId="4" borderId="18" xfId="0" applyNumberFormat="1" applyFont="1" applyFill="1" applyBorder="1" applyAlignment="1">
      <alignment horizontal="center"/>
    </xf>
    <xf numFmtId="167" fontId="7" fillId="4" borderId="18" xfId="0" applyNumberFormat="1" applyFont="1" applyFill="1" applyBorder="1" applyAlignment="1">
      <alignment horizontal="center"/>
    </xf>
    <xf numFmtId="167" fontId="7" fillId="4" borderId="20" xfId="0" applyNumberFormat="1" applyFont="1" applyFill="1" applyBorder="1" applyAlignment="1" applyProtection="1">
      <alignment horizontal="center"/>
    </xf>
    <xf numFmtId="167" fontId="7" fillId="4" borderId="29" xfId="0" applyNumberFormat="1" applyFont="1" applyFill="1" applyBorder="1" applyAlignment="1" applyProtection="1">
      <alignment horizontal="center"/>
    </xf>
    <xf numFmtId="167" fontId="7" fillId="4" borderId="20" xfId="0" applyNumberFormat="1" applyFont="1" applyFill="1" applyBorder="1" applyAlignment="1">
      <alignment horizontal="center"/>
    </xf>
    <xf numFmtId="167" fontId="5" fillId="0" borderId="7" xfId="0" applyNumberFormat="1" applyFont="1" applyBorder="1"/>
    <xf numFmtId="164" fontId="5" fillId="0" borderId="7" xfId="0" applyNumberFormat="1" applyFont="1" applyBorder="1"/>
    <xf numFmtId="49" fontId="5" fillId="0" borderId="7" xfId="0" applyNumberFormat="1" applyFont="1" applyBorder="1"/>
    <xf numFmtId="168" fontId="11" fillId="0" borderId="0" xfId="1" applyNumberFormat="1" applyFont="1"/>
    <xf numFmtId="167" fontId="5" fillId="0" borderId="8" xfId="0" applyNumberFormat="1" applyFont="1" applyBorder="1" applyProtection="1"/>
    <xf numFmtId="164" fontId="5" fillId="0" borderId="7" xfId="0" applyNumberFormat="1" applyFont="1" applyBorder="1" applyProtection="1"/>
    <xf numFmtId="167" fontId="5" fillId="0" borderId="25" xfId="0" applyNumberFormat="1" applyFont="1" applyBorder="1" applyProtection="1"/>
    <xf numFmtId="166" fontId="3" fillId="0" borderId="0" xfId="3" applyNumberFormat="1" applyFont="1" applyFill="1"/>
    <xf numFmtId="167" fontId="5" fillId="0" borderId="26" xfId="0" applyNumberFormat="1" applyFont="1" applyBorder="1"/>
    <xf numFmtId="164" fontId="5" fillId="0" borderId="27" xfId="0" applyNumberFormat="1" applyFont="1" applyBorder="1"/>
    <xf numFmtId="49" fontId="5" fillId="0" borderId="27" xfId="0" applyNumberFormat="1" applyFont="1" applyBorder="1"/>
    <xf numFmtId="167" fontId="5" fillId="0" borderId="27" xfId="0" applyNumberFormat="1" applyFont="1" applyBorder="1" applyProtection="1"/>
    <xf numFmtId="164" fontId="5" fillId="0" borderId="27" xfId="0" applyNumberFormat="1" applyFont="1" applyBorder="1" applyProtection="1"/>
    <xf numFmtId="167" fontId="5" fillId="0" borderId="28" xfId="0" applyNumberFormat="1" applyFont="1" applyBorder="1" applyProtection="1"/>
    <xf numFmtId="164" fontId="12" fillId="0" borderId="0" xfId="0" applyNumberFormat="1" applyFont="1" applyFill="1"/>
    <xf numFmtId="167" fontId="13" fillId="0" borderId="0" xfId="0" applyNumberFormat="1" applyFont="1" applyProtection="1"/>
    <xf numFmtId="167" fontId="12" fillId="0" borderId="0" xfId="0" applyNumberFormat="1" applyFont="1" applyProtection="1"/>
    <xf numFmtId="167" fontId="7" fillId="0" borderId="0" xfId="0" applyNumberFormat="1" applyFont="1" applyFill="1" applyBorder="1"/>
    <xf numFmtId="164" fontId="5" fillId="0" borderId="8" xfId="0" applyNumberFormat="1" applyFont="1" applyBorder="1" applyProtection="1"/>
    <xf numFmtId="3" fontId="4" fillId="0" borderId="8" xfId="0" applyNumberFormat="1" applyFont="1" applyBorder="1" applyAlignment="1">
      <alignment horizontal="right"/>
    </xf>
    <xf numFmtId="167" fontId="7" fillId="4" borderId="20" xfId="0" quotePrefix="1" applyNumberFormat="1" applyFont="1" applyFill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6" fillId="7" borderId="30" xfId="0" applyFont="1" applyFill="1" applyBorder="1"/>
    <xf numFmtId="0" fontId="5" fillId="8" borderId="0" xfId="0" applyFont="1" applyFill="1"/>
    <xf numFmtId="0" fontId="5" fillId="8" borderId="31" xfId="0" applyFont="1" applyFill="1" applyBorder="1"/>
    <xf numFmtId="172" fontId="5" fillId="0" borderId="0" xfId="0" applyNumberFormat="1" applyFont="1" applyAlignment="1">
      <alignment horizontal="left"/>
    </xf>
    <xf numFmtId="0" fontId="18" fillId="0" borderId="0" xfId="4" applyFont="1" applyAlignment="1" applyProtection="1"/>
    <xf numFmtId="49" fontId="5" fillId="8" borderId="0" xfId="0" applyNumberFormat="1" applyFont="1" applyFill="1"/>
    <xf numFmtId="0" fontId="18" fillId="8" borderId="0" xfId="4" applyFont="1" applyFill="1" applyAlignment="1" applyProtection="1"/>
    <xf numFmtId="0" fontId="5" fillId="0" borderId="0" xfId="0" applyFont="1" applyFill="1" applyBorder="1"/>
    <xf numFmtId="49" fontId="5" fillId="8" borderId="0" xfId="0" quotePrefix="1" applyNumberFormat="1" applyFont="1" applyFill="1"/>
    <xf numFmtId="4" fontId="5" fillId="0" borderId="0" xfId="0" applyNumberFormat="1" applyFont="1"/>
    <xf numFmtId="168" fontId="4" fillId="0" borderId="0" xfId="1" applyNumberFormat="1" applyFont="1" applyAlignment="1">
      <alignment horizontal="right"/>
    </xf>
    <xf numFmtId="168" fontId="5" fillId="0" borderId="0" xfId="1" applyNumberFormat="1" applyFont="1" applyFill="1" applyAlignment="1">
      <alignment horizontal="right"/>
    </xf>
    <xf numFmtId="2" fontId="4" fillId="0" borderId="0" xfId="0" applyNumberFormat="1" applyFont="1" applyFill="1"/>
    <xf numFmtId="4" fontId="5" fillId="0" borderId="0" xfId="0" applyNumberFormat="1" applyFont="1" applyFill="1"/>
    <xf numFmtId="168" fontId="4" fillId="0" borderId="0" xfId="1" applyNumberFormat="1" applyFont="1"/>
    <xf numFmtId="49" fontId="3" fillId="3" borderId="15" xfId="0" applyNumberFormat="1" applyFont="1" applyFill="1" applyBorder="1" applyAlignment="1" applyProtection="1">
      <alignment horizontal="center"/>
    </xf>
    <xf numFmtId="49" fontId="3" fillId="3" borderId="16" xfId="0" applyNumberFormat="1" applyFont="1" applyFill="1" applyBorder="1" applyAlignment="1" applyProtection="1">
      <alignment horizontal="center"/>
    </xf>
    <xf numFmtId="49" fontId="3" fillId="3" borderId="17" xfId="0" applyNumberFormat="1" applyFont="1" applyFill="1" applyBorder="1" applyAlignment="1" applyProtection="1">
      <alignment horizontal="center"/>
    </xf>
    <xf numFmtId="167" fontId="3" fillId="3" borderId="15" xfId="0" applyNumberFormat="1" applyFont="1" applyFill="1" applyBorder="1" applyAlignment="1" applyProtection="1">
      <alignment horizontal="center"/>
    </xf>
    <xf numFmtId="167" fontId="3" fillId="3" borderId="16" xfId="0" applyNumberFormat="1" applyFont="1" applyFill="1" applyBorder="1" applyAlignment="1" applyProtection="1">
      <alignment horizontal="center"/>
    </xf>
  </cellXfs>
  <cellStyles count="5">
    <cellStyle name="Comma" xfId="1" builtinId="3"/>
    <cellStyle name="Hyperlink" xfId="4" builtinId="8"/>
    <cellStyle name="Normal" xfId="0" builtinId="0"/>
    <cellStyle name="Normal 7" xfId="2" xr:uid="{00000000-0005-0000-0000-000003000000}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hqsfp002\tedd_common\EXTSEC\BOP\BOPFDI\bop%202010\BOPgood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oods"/>
      <sheetName val="G_CY"/>
      <sheetName val="G_FY"/>
      <sheetName val="Exports"/>
      <sheetName val="EX_CY"/>
      <sheetName val="Ex_FY"/>
      <sheetName val="Imports"/>
      <sheetName val="monthly report exports"/>
      <sheetName val="monthly report imports"/>
      <sheetName val="Im_FY"/>
      <sheetName val="Im_CY"/>
      <sheetName val="Ex_Monthly"/>
      <sheetName val="Ex_Quarterly"/>
      <sheetName val="Exports_CY"/>
      <sheetName val="Exports_FY"/>
      <sheetName val="Im_Monthly"/>
      <sheetName val="Im_Quarterly"/>
      <sheetName val="Imports_CY"/>
      <sheetName val="Imports_FY"/>
    </sheetNames>
    <sheetDataSet>
      <sheetData sheetId="0" refreshError="1"/>
      <sheetData sheetId="1" refreshError="1"/>
      <sheetData sheetId="2" refreshError="1"/>
      <sheetData sheetId="3" refreshError="1">
        <row r="94">
          <cell r="GM94">
            <v>2.0363899999999999</v>
          </cell>
        </row>
        <row r="154">
          <cell r="GM154">
            <v>0.48341000000000001</v>
          </cell>
        </row>
        <row r="168">
          <cell r="GM168">
            <v>60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bou.or.ug/bou/rates_statistics/statistics.html" TargetMode="External"/><Relationship Id="rId1" Type="http://schemas.openxmlformats.org/officeDocument/2006/relationships/hyperlink" Target="mailto:statistics_dissemination@bou.or.u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20"/>
  <sheetViews>
    <sheetView tabSelected="1" topLeftCell="A7" workbookViewId="0">
      <selection activeCell="B13" sqref="B13:C20"/>
    </sheetView>
  </sheetViews>
  <sheetFormatPr defaultColWidth="9.109375" defaultRowHeight="15.6" x14ac:dyDescent="0.3"/>
  <cols>
    <col min="1" max="1" width="5.44140625" style="28" customWidth="1"/>
    <col min="2" max="2" width="32.6640625" style="28" bestFit="1" customWidth="1"/>
    <col min="3" max="3" width="57.44140625" style="28" customWidth="1"/>
    <col min="4" max="4" width="11.6640625" style="28" bestFit="1" customWidth="1"/>
    <col min="5" max="5" width="15.88671875" style="28" bestFit="1" customWidth="1"/>
    <col min="6" max="16384" width="9.109375" style="28"/>
  </cols>
  <sheetData>
    <row r="2" spans="2:5" ht="18" x14ac:dyDescent="0.35">
      <c r="B2" s="134" t="s">
        <v>165</v>
      </c>
    </row>
    <row r="3" spans="2:5" ht="18" x14ac:dyDescent="0.35">
      <c r="B3" s="135" t="s">
        <v>183</v>
      </c>
    </row>
    <row r="5" spans="2:5" x14ac:dyDescent="0.3">
      <c r="B5" s="28" t="s">
        <v>166</v>
      </c>
    </row>
    <row r="6" spans="2:5" ht="20.25" customHeight="1" thickBot="1" x14ac:dyDescent="0.35">
      <c r="B6" s="136" t="s">
        <v>167</v>
      </c>
      <c r="C6" s="136" t="s">
        <v>168</v>
      </c>
      <c r="D6" s="136" t="s">
        <v>169</v>
      </c>
      <c r="E6" s="136" t="s">
        <v>170</v>
      </c>
    </row>
    <row r="7" spans="2:5" x14ac:dyDescent="0.3">
      <c r="B7" s="142" t="s">
        <v>187</v>
      </c>
      <c r="C7" s="137" t="s">
        <v>188</v>
      </c>
      <c r="D7" s="137" t="s">
        <v>171</v>
      </c>
      <c r="E7" s="141" t="s">
        <v>208</v>
      </c>
    </row>
    <row r="8" spans="2:5" x14ac:dyDescent="0.3">
      <c r="B8" s="142" t="s">
        <v>192</v>
      </c>
      <c r="C8" s="137" t="s">
        <v>189</v>
      </c>
      <c r="D8" s="137" t="s">
        <v>185</v>
      </c>
      <c r="E8" s="141" t="s">
        <v>208</v>
      </c>
    </row>
    <row r="9" spans="2:5" x14ac:dyDescent="0.3">
      <c r="B9" s="142" t="s">
        <v>193</v>
      </c>
      <c r="C9" s="137" t="s">
        <v>190</v>
      </c>
      <c r="D9" s="137" t="s">
        <v>186</v>
      </c>
      <c r="E9" s="141" t="s">
        <v>204</v>
      </c>
    </row>
    <row r="10" spans="2:5" x14ac:dyDescent="0.3">
      <c r="B10" s="142" t="s">
        <v>194</v>
      </c>
      <c r="C10" s="137" t="s">
        <v>191</v>
      </c>
      <c r="D10" s="137" t="s">
        <v>186</v>
      </c>
      <c r="E10" s="144" t="s">
        <v>205</v>
      </c>
    </row>
    <row r="11" spans="2:5" ht="16.2" thickBot="1" x14ac:dyDescent="0.35">
      <c r="B11" s="138"/>
      <c r="C11" s="138"/>
      <c r="D11" s="138"/>
      <c r="E11" s="138"/>
    </row>
    <row r="13" spans="2:5" x14ac:dyDescent="0.3">
      <c r="B13" s="28" t="s">
        <v>172</v>
      </c>
      <c r="C13" s="139" t="s">
        <v>207</v>
      </c>
    </row>
    <row r="14" spans="2:5" x14ac:dyDescent="0.3">
      <c r="B14" s="28" t="s">
        <v>173</v>
      </c>
      <c r="C14" s="139" t="s">
        <v>209</v>
      </c>
    </row>
    <row r="16" spans="2:5" x14ac:dyDescent="0.3">
      <c r="B16" s="28" t="s">
        <v>174</v>
      </c>
      <c r="C16" s="28" t="s">
        <v>184</v>
      </c>
    </row>
    <row r="17" spans="2:3" x14ac:dyDescent="0.3">
      <c r="B17" s="28" t="s">
        <v>175</v>
      </c>
      <c r="C17" s="140" t="s">
        <v>176</v>
      </c>
    </row>
    <row r="18" spans="2:3" x14ac:dyDescent="0.3">
      <c r="B18" s="28" t="s">
        <v>177</v>
      </c>
      <c r="C18" s="28" t="s">
        <v>178</v>
      </c>
    </row>
    <row r="19" spans="2:3" x14ac:dyDescent="0.3">
      <c r="B19" s="28" t="s">
        <v>179</v>
      </c>
      <c r="C19" s="140" t="s">
        <v>180</v>
      </c>
    </row>
    <row r="20" spans="2:3" x14ac:dyDescent="0.3">
      <c r="C20" s="28" t="s">
        <v>181</v>
      </c>
    </row>
  </sheetData>
  <hyperlinks>
    <hyperlink ref="C19" r:id="rId1" xr:uid="{00000000-0004-0000-0000-000000000000}"/>
    <hyperlink ref="B7" location="'X-Monthly'!A1" display="X-Monthly" xr:uid="{00000000-0004-0000-0000-000001000000}"/>
    <hyperlink ref="B8" location="'X-Quarterly'!A1" display="X-Quarterly" xr:uid="{00000000-0004-0000-0000-000002000000}"/>
    <hyperlink ref="B9" location="'X-CY'!A1" display="X-CY" xr:uid="{00000000-0004-0000-0000-000003000000}"/>
    <hyperlink ref="B10" location="'X-FY'!A1" display="X-FY" xr:uid="{00000000-0004-0000-0000-000004000000}"/>
    <hyperlink ref="C17" r:id="rId2" xr:uid="{00000000-0004-0000-0000-000005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E119"/>
  <sheetViews>
    <sheetView zoomScale="90" zoomScaleNormal="90" workbookViewId="0">
      <pane xSplit="1" ySplit="4" topLeftCell="LF5" activePane="bottomRight" state="frozen"/>
      <selection pane="topRight" activeCell="B1" sqref="B1"/>
      <selection pane="bottomLeft" activeCell="A4" sqref="A4"/>
      <selection pane="bottomRight" activeCell="LM37" sqref="LM37"/>
    </sheetView>
  </sheetViews>
  <sheetFormatPr defaultColWidth="9.109375" defaultRowHeight="15.6" x14ac:dyDescent="0.3"/>
  <cols>
    <col min="1" max="1" width="36.5546875" style="2" customWidth="1"/>
    <col min="2" max="2" width="13.109375" style="2" customWidth="1"/>
    <col min="3" max="3" width="7.6640625" style="2" bestFit="1" customWidth="1"/>
    <col min="4" max="15" width="10" style="2" bestFit="1" customWidth="1"/>
    <col min="16" max="16" width="8.88671875" style="2" bestFit="1" customWidth="1"/>
    <col min="17" max="29" width="10" style="2" bestFit="1" customWidth="1"/>
    <col min="30" max="31" width="8.88671875" style="2" bestFit="1" customWidth="1"/>
    <col min="32" max="49" width="10" style="2" bestFit="1" customWidth="1"/>
    <col min="50" max="50" width="8.88671875" style="2" bestFit="1" customWidth="1"/>
    <col min="51" max="89" width="10" style="2" bestFit="1" customWidth="1"/>
    <col min="90" max="90" width="9.109375" style="2"/>
    <col min="91" max="104" width="10" style="2" bestFit="1" customWidth="1"/>
    <col min="105" max="105" width="11.5546875" style="2" customWidth="1"/>
    <col min="106" max="107" width="10" style="2" bestFit="1" customWidth="1"/>
    <col min="108" max="108" width="9.109375" style="2"/>
    <col min="109" max="118" width="10" style="2" bestFit="1" customWidth="1"/>
    <col min="119" max="119" width="10.109375" style="2" bestFit="1" customWidth="1"/>
    <col min="120" max="120" width="10" style="2" bestFit="1" customWidth="1"/>
    <col min="121" max="121" width="9.6640625" style="2" bestFit="1" customWidth="1"/>
    <col min="122" max="123" width="10.109375" style="2" bestFit="1" customWidth="1"/>
    <col min="124" max="124" width="10" style="2" bestFit="1" customWidth="1"/>
    <col min="125" max="125" width="10.109375" style="2" bestFit="1" customWidth="1"/>
    <col min="126" max="127" width="9.109375" style="2"/>
    <col min="128" max="128" width="9.33203125" style="2" bestFit="1" customWidth="1"/>
    <col min="129" max="132" width="10.88671875" style="2" bestFit="1" customWidth="1"/>
    <col min="133" max="133" width="9.88671875" style="2" bestFit="1" customWidth="1"/>
    <col min="134" max="134" width="10.88671875" style="2" bestFit="1" customWidth="1"/>
    <col min="135" max="201" width="10" style="2" bestFit="1" customWidth="1"/>
    <col min="202" max="202" width="10.5546875" style="2" bestFit="1" customWidth="1"/>
    <col min="203" max="212" width="10" style="2" bestFit="1" customWidth="1"/>
    <col min="213" max="215" width="10.5546875" style="2" bestFit="1" customWidth="1"/>
    <col min="216" max="244" width="10" style="2" bestFit="1" customWidth="1"/>
    <col min="245" max="248" width="10" style="28" bestFit="1" customWidth="1"/>
    <col min="249" max="253" width="9.6640625" style="28" bestFit="1" customWidth="1"/>
    <col min="254" max="254" width="9.88671875" style="28" bestFit="1" customWidth="1"/>
    <col min="255" max="255" width="9.6640625" style="28" bestFit="1" customWidth="1"/>
    <col min="256" max="278" width="9.88671875" style="28" bestFit="1" customWidth="1"/>
    <col min="279" max="332" width="10" style="28" customWidth="1"/>
    <col min="333" max="333" width="11.5546875" style="4" bestFit="1" customWidth="1"/>
    <col min="334" max="334" width="12.6640625" style="4" bestFit="1" customWidth="1"/>
    <col min="335" max="336" width="11.5546875" style="4" bestFit="1" customWidth="1"/>
    <col min="337" max="16384" width="9.109375" style="4"/>
  </cols>
  <sheetData>
    <row r="1" spans="1:333" x14ac:dyDescent="0.3">
      <c r="A1" s="140" t="s">
        <v>182</v>
      </c>
      <c r="JK1" s="145"/>
    </row>
    <row r="2" spans="1:333" ht="21" x14ac:dyDescent="0.4">
      <c r="A2" s="127" t="s">
        <v>112</v>
      </c>
      <c r="B2" s="1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J2" s="3"/>
      <c r="FK2" s="3"/>
      <c r="FL2" s="3"/>
      <c r="FM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</row>
    <row r="3" spans="1:333" x14ac:dyDescent="0.3">
      <c r="A3" s="5"/>
      <c r="B3" s="5"/>
      <c r="C3" s="6">
        <v>33420</v>
      </c>
      <c r="D3" s="6">
        <v>33451</v>
      </c>
      <c r="E3" s="6">
        <v>33482</v>
      </c>
      <c r="F3" s="6">
        <v>33512</v>
      </c>
      <c r="G3" s="6">
        <v>33543</v>
      </c>
      <c r="H3" s="6">
        <v>33573</v>
      </c>
      <c r="I3" s="6">
        <v>33604</v>
      </c>
      <c r="J3" s="6">
        <v>33635</v>
      </c>
      <c r="K3" s="6">
        <v>33664</v>
      </c>
      <c r="L3" s="6">
        <v>33695</v>
      </c>
      <c r="M3" s="6">
        <v>33725</v>
      </c>
      <c r="N3" s="6">
        <v>33756</v>
      </c>
      <c r="O3" s="6">
        <v>33786</v>
      </c>
      <c r="P3" s="6">
        <v>33817</v>
      </c>
      <c r="Q3" s="6">
        <v>33848</v>
      </c>
      <c r="R3" s="6">
        <v>33878</v>
      </c>
      <c r="S3" s="6">
        <v>33909</v>
      </c>
      <c r="T3" s="6">
        <v>33939</v>
      </c>
      <c r="U3" s="6">
        <v>33970</v>
      </c>
      <c r="V3" s="6">
        <v>34001</v>
      </c>
      <c r="W3" s="6">
        <v>34029</v>
      </c>
      <c r="X3" s="6">
        <v>34060</v>
      </c>
      <c r="Y3" s="6">
        <v>34090</v>
      </c>
      <c r="Z3" s="6">
        <v>34121</v>
      </c>
      <c r="AA3" s="6">
        <v>34151</v>
      </c>
      <c r="AB3" s="6">
        <v>34182</v>
      </c>
      <c r="AC3" s="6">
        <v>34213</v>
      </c>
      <c r="AD3" s="6">
        <v>34243</v>
      </c>
      <c r="AE3" s="6">
        <v>34274</v>
      </c>
      <c r="AF3" s="6">
        <v>34304</v>
      </c>
      <c r="AG3" s="6">
        <v>34335</v>
      </c>
      <c r="AH3" s="6">
        <v>34366</v>
      </c>
      <c r="AI3" s="6">
        <v>34394</v>
      </c>
      <c r="AJ3" s="6">
        <v>34425</v>
      </c>
      <c r="AK3" s="6">
        <v>34455</v>
      </c>
      <c r="AL3" s="6">
        <v>34486</v>
      </c>
      <c r="AM3" s="6">
        <v>34516</v>
      </c>
      <c r="AN3" s="6">
        <v>34547</v>
      </c>
      <c r="AO3" s="6">
        <v>34578</v>
      </c>
      <c r="AP3" s="6">
        <v>34608</v>
      </c>
      <c r="AQ3" s="6">
        <v>34639</v>
      </c>
      <c r="AR3" s="6">
        <v>34669</v>
      </c>
      <c r="AS3" s="6">
        <v>34700</v>
      </c>
      <c r="AT3" s="6">
        <v>34731</v>
      </c>
      <c r="AU3" s="6">
        <v>34759</v>
      </c>
      <c r="AV3" s="6">
        <v>34790</v>
      </c>
      <c r="AW3" s="6">
        <v>34820</v>
      </c>
      <c r="AX3" s="6">
        <v>34851</v>
      </c>
      <c r="AY3" s="6">
        <v>34881</v>
      </c>
      <c r="AZ3" s="6">
        <v>34912</v>
      </c>
      <c r="BA3" s="6">
        <v>34943</v>
      </c>
      <c r="BB3" s="6">
        <v>34973</v>
      </c>
      <c r="BC3" s="6">
        <v>35004</v>
      </c>
      <c r="BD3" s="6">
        <v>35034</v>
      </c>
      <c r="BE3" s="6">
        <v>35065</v>
      </c>
      <c r="BF3" s="6">
        <v>35096</v>
      </c>
      <c r="BG3" s="6">
        <v>35125</v>
      </c>
      <c r="BH3" s="6">
        <v>35156</v>
      </c>
      <c r="BI3" s="6">
        <v>35186</v>
      </c>
      <c r="BJ3" s="6">
        <v>35217</v>
      </c>
      <c r="BK3" s="6">
        <v>35247</v>
      </c>
      <c r="BL3" s="6">
        <v>35278</v>
      </c>
      <c r="BM3" s="6">
        <v>35309</v>
      </c>
      <c r="BN3" s="6">
        <v>35339</v>
      </c>
      <c r="BO3" s="6">
        <v>35370</v>
      </c>
      <c r="BP3" s="6">
        <v>35400</v>
      </c>
      <c r="BQ3" s="6">
        <v>35431</v>
      </c>
      <c r="BR3" s="6">
        <v>35462</v>
      </c>
      <c r="BS3" s="6">
        <v>35490</v>
      </c>
      <c r="BT3" s="6">
        <v>35521</v>
      </c>
      <c r="BU3" s="6">
        <v>35551</v>
      </c>
      <c r="BV3" s="6">
        <v>35582</v>
      </c>
      <c r="BW3" s="6">
        <v>35612</v>
      </c>
      <c r="BX3" s="6">
        <v>35643</v>
      </c>
      <c r="BY3" s="6">
        <v>35674</v>
      </c>
      <c r="BZ3" s="6">
        <v>35704</v>
      </c>
      <c r="CA3" s="6">
        <v>35735</v>
      </c>
      <c r="CB3" s="6">
        <v>35765</v>
      </c>
      <c r="CC3" s="6">
        <v>35796</v>
      </c>
      <c r="CD3" s="6">
        <v>35827</v>
      </c>
      <c r="CE3" s="6">
        <v>35855</v>
      </c>
      <c r="CF3" s="6">
        <v>35886</v>
      </c>
      <c r="CG3" s="6">
        <v>35916</v>
      </c>
      <c r="CH3" s="6">
        <v>35947</v>
      </c>
      <c r="CI3" s="6">
        <v>35977</v>
      </c>
      <c r="CJ3" s="6">
        <v>36008</v>
      </c>
      <c r="CK3" s="6">
        <v>36039</v>
      </c>
      <c r="CL3" s="6">
        <v>36069</v>
      </c>
      <c r="CM3" s="6">
        <v>36100</v>
      </c>
      <c r="CN3" s="6">
        <v>36130</v>
      </c>
      <c r="CO3" s="6">
        <v>36161</v>
      </c>
      <c r="CP3" s="6">
        <v>36192</v>
      </c>
      <c r="CQ3" s="6">
        <v>36220</v>
      </c>
      <c r="CR3" s="6">
        <v>36251</v>
      </c>
      <c r="CS3" s="6">
        <v>36281</v>
      </c>
      <c r="CT3" s="6">
        <v>36312</v>
      </c>
      <c r="CU3" s="6">
        <v>36342</v>
      </c>
      <c r="CV3" s="6">
        <v>36373</v>
      </c>
      <c r="CW3" s="6">
        <v>36404</v>
      </c>
      <c r="CX3" s="6">
        <v>36434</v>
      </c>
      <c r="CY3" s="6">
        <v>36465</v>
      </c>
      <c r="CZ3" s="6">
        <v>36495</v>
      </c>
      <c r="DA3" s="6">
        <v>36526</v>
      </c>
      <c r="DB3" s="6">
        <v>36557</v>
      </c>
      <c r="DC3" s="6">
        <v>36586</v>
      </c>
      <c r="DD3" s="6">
        <v>36617</v>
      </c>
      <c r="DE3" s="6">
        <v>36647</v>
      </c>
      <c r="DF3" s="6">
        <v>36678</v>
      </c>
      <c r="DG3" s="6">
        <v>36708</v>
      </c>
      <c r="DH3" s="6">
        <v>36739</v>
      </c>
      <c r="DI3" s="6">
        <v>36770</v>
      </c>
      <c r="DJ3" s="6">
        <v>36800</v>
      </c>
      <c r="DK3" s="6">
        <v>36831</v>
      </c>
      <c r="DL3" s="6">
        <v>36861</v>
      </c>
      <c r="DM3" s="6">
        <v>36892</v>
      </c>
      <c r="DN3" s="6">
        <v>36923</v>
      </c>
      <c r="DO3" s="6">
        <v>36951</v>
      </c>
      <c r="DP3" s="6">
        <v>36982</v>
      </c>
      <c r="DQ3" s="6">
        <v>37012</v>
      </c>
      <c r="DR3" s="6">
        <v>37043</v>
      </c>
      <c r="DS3" s="6">
        <v>37073</v>
      </c>
      <c r="DT3" s="6">
        <v>37104</v>
      </c>
      <c r="DU3" s="6">
        <v>37135</v>
      </c>
      <c r="DV3" s="6">
        <v>37165</v>
      </c>
      <c r="DW3" s="6">
        <v>37196</v>
      </c>
      <c r="DX3" s="6">
        <v>37226</v>
      </c>
      <c r="DY3" s="6">
        <v>37257</v>
      </c>
      <c r="DZ3" s="6">
        <v>37288</v>
      </c>
      <c r="EA3" s="6">
        <v>37316</v>
      </c>
      <c r="EB3" s="6">
        <v>37347</v>
      </c>
      <c r="EC3" s="6">
        <v>37377</v>
      </c>
      <c r="ED3" s="6">
        <v>37408</v>
      </c>
      <c r="EE3" s="6">
        <v>37438</v>
      </c>
      <c r="EF3" s="6">
        <v>37469</v>
      </c>
      <c r="EG3" s="6">
        <v>37500</v>
      </c>
      <c r="EH3" s="6">
        <v>37530</v>
      </c>
      <c r="EI3" s="6">
        <v>37561</v>
      </c>
      <c r="EJ3" s="6">
        <v>37591</v>
      </c>
      <c r="EK3" s="6">
        <v>37622</v>
      </c>
      <c r="EL3" s="6">
        <v>37653</v>
      </c>
      <c r="EM3" s="6">
        <v>37681</v>
      </c>
      <c r="EN3" s="6">
        <v>37712</v>
      </c>
      <c r="EO3" s="6">
        <v>37742</v>
      </c>
      <c r="EP3" s="6">
        <v>37773</v>
      </c>
      <c r="EQ3" s="6">
        <v>37803</v>
      </c>
      <c r="ER3" s="6">
        <v>37834</v>
      </c>
      <c r="ES3" s="6">
        <v>37865</v>
      </c>
      <c r="ET3" s="6">
        <v>37895</v>
      </c>
      <c r="EU3" s="6">
        <v>37926</v>
      </c>
      <c r="EV3" s="6">
        <v>37956</v>
      </c>
      <c r="EW3" s="6">
        <v>37987</v>
      </c>
      <c r="EX3" s="6">
        <v>38018</v>
      </c>
      <c r="EY3" s="6">
        <v>38047</v>
      </c>
      <c r="EZ3" s="6">
        <v>38078</v>
      </c>
      <c r="FA3" s="6">
        <v>38108</v>
      </c>
      <c r="FB3" s="6">
        <v>38139</v>
      </c>
      <c r="FC3" s="6">
        <v>38169</v>
      </c>
      <c r="FD3" s="6">
        <v>38200</v>
      </c>
      <c r="FE3" s="6">
        <v>38231</v>
      </c>
      <c r="FF3" s="6">
        <v>38261</v>
      </c>
      <c r="FG3" s="6">
        <v>38292</v>
      </c>
      <c r="FH3" s="6">
        <v>38322</v>
      </c>
      <c r="FI3" s="6">
        <v>38353</v>
      </c>
      <c r="FJ3" s="6">
        <v>38384</v>
      </c>
      <c r="FK3" s="6">
        <v>38412</v>
      </c>
      <c r="FL3" s="6">
        <v>38443</v>
      </c>
      <c r="FM3" s="6">
        <v>38473</v>
      </c>
      <c r="FN3" s="6">
        <v>38504</v>
      </c>
      <c r="FO3" s="6">
        <v>38534</v>
      </c>
      <c r="FP3" s="6">
        <v>38565</v>
      </c>
      <c r="FQ3" s="6">
        <v>38596</v>
      </c>
      <c r="FR3" s="6">
        <v>38626</v>
      </c>
      <c r="FS3" s="6">
        <v>38657</v>
      </c>
      <c r="FT3" s="6">
        <v>38687</v>
      </c>
      <c r="FU3" s="6">
        <v>38718</v>
      </c>
      <c r="FV3" s="6">
        <v>38749</v>
      </c>
      <c r="FW3" s="6">
        <v>38777</v>
      </c>
      <c r="FX3" s="6">
        <v>38808</v>
      </c>
      <c r="FY3" s="6">
        <v>38838</v>
      </c>
      <c r="FZ3" s="6">
        <v>38869</v>
      </c>
      <c r="GA3" s="6">
        <v>38899</v>
      </c>
      <c r="GB3" s="6">
        <v>38930</v>
      </c>
      <c r="GC3" s="6">
        <v>38961</v>
      </c>
      <c r="GD3" s="6">
        <v>38991</v>
      </c>
      <c r="GE3" s="6">
        <v>39022</v>
      </c>
      <c r="GF3" s="6">
        <v>39052</v>
      </c>
      <c r="GG3" s="6">
        <v>39083</v>
      </c>
      <c r="GH3" s="6">
        <v>39114</v>
      </c>
      <c r="GI3" s="6">
        <v>39142</v>
      </c>
      <c r="GJ3" s="6">
        <v>39173</v>
      </c>
      <c r="GK3" s="6">
        <v>39203</v>
      </c>
      <c r="GL3" s="6">
        <v>39234</v>
      </c>
      <c r="GM3" s="6">
        <v>39264</v>
      </c>
      <c r="GN3" s="6">
        <v>39295</v>
      </c>
      <c r="GO3" s="6">
        <v>39326</v>
      </c>
      <c r="GP3" s="6">
        <v>39356</v>
      </c>
      <c r="GQ3" s="6">
        <v>39387</v>
      </c>
      <c r="GR3" s="6">
        <v>39417</v>
      </c>
      <c r="GS3" s="6">
        <v>39448</v>
      </c>
      <c r="GT3" s="6">
        <v>39479</v>
      </c>
      <c r="GU3" s="6">
        <v>39508</v>
      </c>
      <c r="GV3" s="6">
        <v>39539</v>
      </c>
      <c r="GW3" s="6">
        <v>39569</v>
      </c>
      <c r="GX3" s="6">
        <v>39600</v>
      </c>
      <c r="GY3" s="6">
        <v>39630</v>
      </c>
      <c r="GZ3" s="6">
        <v>39661</v>
      </c>
      <c r="HA3" s="6">
        <v>39692</v>
      </c>
      <c r="HB3" s="6">
        <v>39722</v>
      </c>
      <c r="HC3" s="6">
        <v>39753</v>
      </c>
      <c r="HD3" s="6">
        <v>39783</v>
      </c>
      <c r="HE3" s="6">
        <v>39814</v>
      </c>
      <c r="HF3" s="6">
        <v>39845</v>
      </c>
      <c r="HG3" s="6">
        <v>39873</v>
      </c>
      <c r="HH3" s="6">
        <v>39904</v>
      </c>
      <c r="HI3" s="6">
        <v>39934</v>
      </c>
      <c r="HJ3" s="6">
        <v>39965</v>
      </c>
      <c r="HK3" s="6">
        <v>39995</v>
      </c>
      <c r="HL3" s="6">
        <v>40026</v>
      </c>
      <c r="HM3" s="6">
        <v>40057</v>
      </c>
      <c r="HN3" s="6">
        <v>40087</v>
      </c>
      <c r="HO3" s="6">
        <v>40118</v>
      </c>
      <c r="HP3" s="6">
        <v>40148</v>
      </c>
      <c r="HQ3" s="6">
        <v>40180</v>
      </c>
      <c r="HR3" s="6">
        <v>40212</v>
      </c>
      <c r="HS3" s="6">
        <v>40241</v>
      </c>
      <c r="HT3" s="6">
        <v>40273</v>
      </c>
      <c r="HU3" s="6">
        <v>40312</v>
      </c>
      <c r="HV3" s="6">
        <v>40351</v>
      </c>
      <c r="HW3" s="6">
        <v>40382</v>
      </c>
      <c r="HX3" s="6">
        <v>40414</v>
      </c>
      <c r="HY3" s="6">
        <v>40446</v>
      </c>
      <c r="HZ3" s="6">
        <v>40477</v>
      </c>
      <c r="IA3" s="6">
        <v>40508</v>
      </c>
      <c r="IB3" s="6">
        <v>40539</v>
      </c>
      <c r="IC3" s="6">
        <v>40545</v>
      </c>
      <c r="ID3" s="6">
        <v>40575</v>
      </c>
      <c r="IE3" s="6">
        <v>40605</v>
      </c>
      <c r="IF3" s="6">
        <v>40635</v>
      </c>
      <c r="IG3" s="6">
        <v>40665</v>
      </c>
      <c r="IH3" s="6">
        <v>40695</v>
      </c>
      <c r="II3" s="6">
        <v>40725</v>
      </c>
      <c r="IJ3" s="6">
        <v>40756</v>
      </c>
      <c r="IK3" s="6">
        <v>40787</v>
      </c>
      <c r="IL3" s="6">
        <v>40817</v>
      </c>
      <c r="IM3" s="6">
        <v>40848</v>
      </c>
      <c r="IN3" s="6">
        <v>40878</v>
      </c>
      <c r="IO3" s="6">
        <v>40909</v>
      </c>
      <c r="IP3" s="6">
        <v>40940</v>
      </c>
      <c r="IQ3" s="6">
        <v>40969</v>
      </c>
      <c r="IR3" s="6">
        <v>41000</v>
      </c>
      <c r="IS3" s="6">
        <v>41030</v>
      </c>
      <c r="IT3" s="6">
        <v>41061</v>
      </c>
      <c r="IU3" s="6">
        <v>41091</v>
      </c>
      <c r="IV3" s="6">
        <v>41122</v>
      </c>
      <c r="IW3" s="6">
        <v>41153</v>
      </c>
      <c r="IX3" s="6">
        <v>41184</v>
      </c>
      <c r="IY3" s="6">
        <v>41215</v>
      </c>
      <c r="IZ3" s="6">
        <v>41246</v>
      </c>
      <c r="JA3" s="6">
        <v>41277</v>
      </c>
      <c r="JB3" s="6">
        <v>41308</v>
      </c>
      <c r="JC3" s="6">
        <v>41336</v>
      </c>
      <c r="JD3" s="6">
        <v>41367</v>
      </c>
      <c r="JE3" s="6">
        <v>41397</v>
      </c>
      <c r="JF3" s="6">
        <v>41428</v>
      </c>
      <c r="JG3" s="6">
        <v>41458</v>
      </c>
      <c r="JH3" s="6">
        <v>41489</v>
      </c>
      <c r="JI3" s="6">
        <v>41520</v>
      </c>
      <c r="JJ3" s="6">
        <v>41550</v>
      </c>
      <c r="JK3" s="6">
        <v>41582</v>
      </c>
      <c r="JL3" s="6">
        <v>41614</v>
      </c>
      <c r="JM3" s="6">
        <v>41646</v>
      </c>
      <c r="JN3" s="6">
        <v>41678</v>
      </c>
      <c r="JO3" s="6">
        <v>41710</v>
      </c>
      <c r="JP3" s="6">
        <v>41742</v>
      </c>
      <c r="JQ3" s="6">
        <v>41774</v>
      </c>
      <c r="JR3" s="6">
        <v>41806</v>
      </c>
      <c r="JS3" s="6">
        <v>41838</v>
      </c>
      <c r="JT3" s="6">
        <v>41870</v>
      </c>
      <c r="JU3" s="6">
        <v>41902</v>
      </c>
      <c r="JV3" s="6">
        <v>41934</v>
      </c>
      <c r="JW3" s="6">
        <v>41966</v>
      </c>
      <c r="JX3" s="6">
        <v>41998</v>
      </c>
      <c r="JY3" s="6">
        <v>42005</v>
      </c>
      <c r="JZ3" s="6">
        <v>42036</v>
      </c>
      <c r="KA3" s="6">
        <v>42064</v>
      </c>
      <c r="KB3" s="6">
        <v>42095</v>
      </c>
      <c r="KC3" s="6">
        <v>42125</v>
      </c>
      <c r="KD3" s="6">
        <v>42156</v>
      </c>
      <c r="KE3" s="6">
        <v>42186</v>
      </c>
      <c r="KF3" s="6">
        <v>42217</v>
      </c>
      <c r="KG3" s="6">
        <v>42248</v>
      </c>
      <c r="KH3" s="6">
        <v>42278</v>
      </c>
      <c r="KI3" s="6">
        <v>42309</v>
      </c>
      <c r="KJ3" s="6">
        <v>42339</v>
      </c>
      <c r="KK3" s="6">
        <v>42370</v>
      </c>
      <c r="KL3" s="6">
        <v>42401</v>
      </c>
      <c r="KM3" s="6">
        <v>42430</v>
      </c>
      <c r="KN3" s="6">
        <v>42461</v>
      </c>
      <c r="KO3" s="6">
        <v>42491</v>
      </c>
      <c r="KP3" s="6">
        <v>42522</v>
      </c>
      <c r="KQ3" s="6">
        <v>42552</v>
      </c>
      <c r="KR3" s="6">
        <v>42583</v>
      </c>
      <c r="KS3" s="6">
        <v>42614</v>
      </c>
      <c r="KT3" s="6">
        <v>42644</v>
      </c>
      <c r="KU3" s="6">
        <v>42675</v>
      </c>
      <c r="KV3" s="6">
        <v>42705</v>
      </c>
      <c r="KW3" s="6">
        <v>42736</v>
      </c>
      <c r="KX3" s="6">
        <v>42767</v>
      </c>
      <c r="KY3" s="6">
        <v>42795</v>
      </c>
      <c r="KZ3" s="6">
        <v>42826</v>
      </c>
      <c r="LA3" s="6">
        <v>42856</v>
      </c>
      <c r="LB3" s="6">
        <v>42887</v>
      </c>
      <c r="LC3" s="6">
        <v>42917</v>
      </c>
      <c r="LD3" s="6">
        <v>42948</v>
      </c>
      <c r="LE3" s="6">
        <v>42979</v>
      </c>
      <c r="LF3" s="6">
        <v>43009</v>
      </c>
      <c r="LG3" s="6">
        <v>43040</v>
      </c>
      <c r="LH3" s="6">
        <v>43070</v>
      </c>
      <c r="LI3" s="6">
        <v>43101</v>
      </c>
      <c r="LJ3" s="6">
        <v>43132</v>
      </c>
      <c r="LK3" s="6">
        <v>43160</v>
      </c>
      <c r="LL3" s="6">
        <v>43191</v>
      </c>
      <c r="LM3" s="6">
        <v>43221</v>
      </c>
      <c r="LN3" s="6">
        <v>43252</v>
      </c>
      <c r="LO3" s="6">
        <v>43282</v>
      </c>
      <c r="LP3" s="6">
        <v>43313</v>
      </c>
      <c r="LQ3" s="6">
        <v>43344</v>
      </c>
      <c r="LR3" s="6">
        <v>43374</v>
      </c>
      <c r="LS3" s="6">
        <v>43405</v>
      </c>
      <c r="LT3" s="6">
        <v>43435</v>
      </c>
    </row>
    <row r="4" spans="1:333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L4" s="7"/>
      <c r="LM4" s="7"/>
      <c r="LN4" s="7"/>
      <c r="LO4" s="7"/>
      <c r="LP4" s="7"/>
      <c r="LQ4" s="7"/>
      <c r="LR4" s="7"/>
      <c r="LS4" s="7"/>
      <c r="LT4" s="7"/>
    </row>
    <row r="5" spans="1:333" x14ac:dyDescent="0.3">
      <c r="A5" s="1" t="s">
        <v>0</v>
      </c>
      <c r="B5" s="1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9">
        <v>12.388888</v>
      </c>
      <c r="AB5" s="9">
        <v>15.802190500000002</v>
      </c>
      <c r="AC5" s="9">
        <v>21.757333000000003</v>
      </c>
      <c r="AD5" s="9">
        <v>12.8717737</v>
      </c>
      <c r="AE5" s="9">
        <v>14.569257</v>
      </c>
      <c r="AF5" s="9">
        <v>15.664053000000001</v>
      </c>
      <c r="AG5" s="9">
        <v>20.55385987</v>
      </c>
      <c r="AH5" s="9">
        <v>27.407342249999999</v>
      </c>
      <c r="AI5" s="9">
        <v>32.504564999999999</v>
      </c>
      <c r="AJ5" s="9">
        <v>32.601460000000003</v>
      </c>
      <c r="AK5" s="9">
        <v>31.6724338</v>
      </c>
      <c r="AL5" s="9">
        <v>26.887520649999999</v>
      </c>
      <c r="AM5" s="9">
        <v>50.061241500000001</v>
      </c>
      <c r="AN5" s="9">
        <v>36.704780999999997</v>
      </c>
      <c r="AO5" s="9">
        <v>59.161850000000001</v>
      </c>
      <c r="AP5" s="9">
        <v>46.55320905</v>
      </c>
      <c r="AQ5" s="9">
        <v>44.276843800000002</v>
      </c>
      <c r="AR5" s="9">
        <v>53.167372399999998</v>
      </c>
      <c r="AS5" s="9">
        <v>63.44685033333333</v>
      </c>
      <c r="AT5" s="9">
        <v>58.809227333333332</v>
      </c>
      <c r="AU5" s="9">
        <v>68.333114333333327</v>
      </c>
      <c r="AV5" s="9">
        <v>47.500375333333338</v>
      </c>
      <c r="AW5" s="9">
        <v>36.765880333333328</v>
      </c>
      <c r="AX5" s="9">
        <v>24.58953833333333</v>
      </c>
      <c r="AY5" s="9">
        <v>34.008505077818938</v>
      </c>
      <c r="AZ5" s="9">
        <v>48.370674197727183</v>
      </c>
      <c r="BA5" s="9">
        <v>49.486713054430993</v>
      </c>
      <c r="BB5" s="9">
        <v>29.122913864465588</v>
      </c>
      <c r="BC5" s="9">
        <v>38.53735228911016</v>
      </c>
      <c r="BD5" s="9">
        <v>55.232782057769256</v>
      </c>
      <c r="BE5" s="9">
        <v>62.20519190016666</v>
      </c>
      <c r="BF5" s="9">
        <v>63.750176985166668</v>
      </c>
      <c r="BG5" s="9">
        <v>60.669095866166664</v>
      </c>
      <c r="BH5" s="9">
        <v>63.796489416666674</v>
      </c>
      <c r="BI5" s="9">
        <v>45.439319012166663</v>
      </c>
      <c r="BJ5" s="9">
        <v>34.191546514666669</v>
      </c>
      <c r="BK5" s="9">
        <v>51.351374704485607</v>
      </c>
      <c r="BL5" s="9">
        <v>47.503481664393846</v>
      </c>
      <c r="BM5" s="9">
        <v>46.479932721097661</v>
      </c>
      <c r="BN5" s="9">
        <v>53.647757531132257</v>
      </c>
      <c r="BO5" s="9">
        <v>53.687903000000006</v>
      </c>
      <c r="BP5" s="9">
        <v>55.880250999999994</v>
      </c>
      <c r="BQ5" s="9">
        <v>63.584637000000001</v>
      </c>
      <c r="BR5" s="9">
        <v>69.709215999999998</v>
      </c>
      <c r="BS5" s="9">
        <v>66.456012000000001</v>
      </c>
      <c r="BT5" s="9">
        <v>61.132149999999996</v>
      </c>
      <c r="BU5" s="9">
        <v>51.653240999999994</v>
      </c>
      <c r="BV5" s="9">
        <v>61.352103999999997</v>
      </c>
      <c r="BW5" s="9">
        <v>45.509320000000002</v>
      </c>
      <c r="BX5" s="9">
        <v>41.448785000000001</v>
      </c>
      <c r="BY5" s="9">
        <v>33.362782000000003</v>
      </c>
      <c r="BZ5" s="9">
        <v>25.198441169999995</v>
      </c>
      <c r="CA5" s="9">
        <v>32.556550000000001</v>
      </c>
      <c r="CB5" s="9">
        <v>39.597050000000003</v>
      </c>
      <c r="CC5" s="9">
        <v>38.463802000000001</v>
      </c>
      <c r="CD5" s="9">
        <v>51.943108999999993</v>
      </c>
      <c r="CE5" s="9">
        <v>44.630099999999999</v>
      </c>
      <c r="CF5" s="9">
        <v>27.850259000000001</v>
      </c>
      <c r="CG5" s="9">
        <v>26.672867</v>
      </c>
      <c r="CH5" s="9">
        <v>51.177334000000002</v>
      </c>
      <c r="CI5" s="9">
        <v>40.094111999999996</v>
      </c>
      <c r="CJ5" s="9">
        <v>44.236873000000003</v>
      </c>
      <c r="CK5" s="9">
        <v>31.519534999999998</v>
      </c>
      <c r="CL5" s="9">
        <v>29.740631999999998</v>
      </c>
      <c r="CM5" s="9">
        <v>47.819752999999999</v>
      </c>
      <c r="CN5" s="9">
        <v>65.376000000000005</v>
      </c>
      <c r="CO5" s="9">
        <v>59.082999999999998</v>
      </c>
      <c r="CP5" s="9">
        <v>56.044752000000003</v>
      </c>
      <c r="CQ5" s="9">
        <v>51.533999999999992</v>
      </c>
      <c r="CR5" s="9">
        <v>28.715999999999998</v>
      </c>
      <c r="CS5" s="9">
        <v>38.973210999999999</v>
      </c>
      <c r="CT5" s="9">
        <v>45.325412</v>
      </c>
      <c r="CU5" s="9">
        <v>36.137395999999995</v>
      </c>
      <c r="CV5" s="9">
        <v>31.948709999999998</v>
      </c>
      <c r="CW5" s="9">
        <v>29.212338000000003</v>
      </c>
      <c r="CX5" s="9">
        <v>25.220777999999999</v>
      </c>
      <c r="CY5" s="9">
        <v>35.847707</v>
      </c>
      <c r="CZ5" s="9">
        <v>39.437243000000002</v>
      </c>
      <c r="DA5" s="9">
        <v>42.864448000000003</v>
      </c>
      <c r="DB5" s="9">
        <v>39.253378999999995</v>
      </c>
      <c r="DC5" s="9">
        <v>43.003156000000004</v>
      </c>
      <c r="DD5" s="9">
        <v>38.468426000000001</v>
      </c>
      <c r="DE5" s="9">
        <v>32.435825999999999</v>
      </c>
      <c r="DF5" s="9">
        <v>38.687042000000005</v>
      </c>
      <c r="DG5" s="9">
        <v>35.063614000000001</v>
      </c>
      <c r="DH5" s="9">
        <v>27.832303</v>
      </c>
      <c r="DI5" s="9">
        <v>31.061474000000004</v>
      </c>
      <c r="DJ5" s="9">
        <v>28.888858999999997</v>
      </c>
      <c r="DK5" s="9">
        <v>42.250881</v>
      </c>
      <c r="DL5" s="9">
        <v>30.995000000000001</v>
      </c>
      <c r="DM5" s="9">
        <v>41.914947000000005</v>
      </c>
      <c r="DN5" s="9">
        <v>40.504072000000008</v>
      </c>
      <c r="DO5" s="9">
        <v>38.297712999999995</v>
      </c>
      <c r="DP5" s="9">
        <v>39.476999999999997</v>
      </c>
      <c r="DQ5" s="9">
        <v>40.218000000000004</v>
      </c>
      <c r="DR5" s="9">
        <v>35.183</v>
      </c>
      <c r="DS5" s="9">
        <v>35.239562999999997</v>
      </c>
      <c r="DT5" s="9">
        <v>40.157265000000002</v>
      </c>
      <c r="DU5" s="9">
        <v>32.197626999999997</v>
      </c>
      <c r="DV5" s="9">
        <v>31.901399999999999</v>
      </c>
      <c r="DW5" s="9">
        <v>32.157199999999996</v>
      </c>
      <c r="DX5" s="9">
        <v>36.18</v>
      </c>
      <c r="DY5" s="9">
        <v>40.051916000000006</v>
      </c>
      <c r="DZ5" s="9">
        <v>35.755670000000002</v>
      </c>
      <c r="EA5" s="9">
        <v>45.019634690000004</v>
      </c>
      <c r="EB5" s="9">
        <v>37.794200000000004</v>
      </c>
      <c r="EC5" s="9">
        <v>36.813400000000001</v>
      </c>
      <c r="ED5" s="9">
        <v>40.094111999999996</v>
      </c>
      <c r="EE5" s="9">
        <v>38.405850999999998</v>
      </c>
      <c r="EF5" s="9">
        <v>34.642776999999995</v>
      </c>
      <c r="EG5" s="9">
        <v>33.470385</v>
      </c>
      <c r="EH5" s="9">
        <v>38.917999999999999</v>
      </c>
      <c r="EI5" s="9">
        <v>36.763000000000005</v>
      </c>
      <c r="EJ5" s="9">
        <v>34.093139000000008</v>
      </c>
      <c r="EK5" s="9">
        <v>50.282063338380034</v>
      </c>
      <c r="EL5" s="9">
        <v>46.274269519683457</v>
      </c>
      <c r="EM5" s="9">
        <v>42.730560742988956</v>
      </c>
      <c r="EN5" s="9">
        <v>41.091441780174748</v>
      </c>
      <c r="EO5" s="9">
        <v>39.989810920033797</v>
      </c>
      <c r="EP5" s="9">
        <v>43.158471214317487</v>
      </c>
      <c r="EQ5" s="9">
        <v>45.125056397426235</v>
      </c>
      <c r="ER5" s="9">
        <v>46.01399630100569</v>
      </c>
      <c r="ES5" s="9">
        <v>55.434737355065316</v>
      </c>
      <c r="ET5" s="9">
        <v>50.20640312456743</v>
      </c>
      <c r="EU5" s="9">
        <v>40.865440250445289</v>
      </c>
      <c r="EV5" s="9">
        <v>46.619907694543812</v>
      </c>
      <c r="EW5" s="9">
        <v>67.695645574409099</v>
      </c>
      <c r="EX5" s="9">
        <v>58.261961942019688</v>
      </c>
      <c r="EY5" s="9">
        <v>68.848439793699839</v>
      </c>
      <c r="EZ5" s="9">
        <v>63.404904785213127</v>
      </c>
      <c r="FA5" s="9">
        <v>52.703396406801346</v>
      </c>
      <c r="FB5" s="9">
        <v>53.096078598142697</v>
      </c>
      <c r="FC5" s="9">
        <v>61.961132553340249</v>
      </c>
      <c r="FD5" s="9">
        <v>62.621571281654333</v>
      </c>
      <c r="FE5" s="9">
        <v>55.014123551354658</v>
      </c>
      <c r="FF5" s="9">
        <v>55.913983912452316</v>
      </c>
      <c r="FG5" s="9">
        <v>61.56561100990961</v>
      </c>
      <c r="FH5" s="9">
        <v>73.429026063029767</v>
      </c>
      <c r="FI5" s="9">
        <v>66.60935024447015</v>
      </c>
      <c r="FJ5" s="9">
        <v>72.183782517811792</v>
      </c>
      <c r="FK5" s="9">
        <v>80.28706280734508</v>
      </c>
      <c r="FL5" s="9">
        <v>88.740009296105484</v>
      </c>
      <c r="FM5" s="9">
        <v>95.223562317224207</v>
      </c>
      <c r="FN5" s="9">
        <v>83.875621261041175</v>
      </c>
      <c r="FO5" s="9">
        <v>82.019361991756853</v>
      </c>
      <c r="FP5" s="9">
        <v>83.69042232009707</v>
      </c>
      <c r="FQ5" s="9">
        <v>74.80678064422726</v>
      </c>
      <c r="FR5" s="9">
        <v>88.391061343811486</v>
      </c>
      <c r="FS5" s="9">
        <v>90.149852495915198</v>
      </c>
      <c r="FT5" s="9">
        <v>98.787181493112669</v>
      </c>
      <c r="FU5" s="9">
        <v>85.291858579999996</v>
      </c>
      <c r="FV5" s="9">
        <v>77.417826849999997</v>
      </c>
      <c r="FW5" s="9">
        <v>81.932789600000007</v>
      </c>
      <c r="FX5" s="9">
        <v>82.735706099999987</v>
      </c>
      <c r="FY5" s="9">
        <v>87.485345929999994</v>
      </c>
      <c r="FZ5" s="9">
        <v>102.77642076000001</v>
      </c>
      <c r="GA5" s="9">
        <v>100.25345935000001</v>
      </c>
      <c r="GB5" s="9">
        <v>103.98378636999999</v>
      </c>
      <c r="GC5" s="9">
        <v>101.66553751999999</v>
      </c>
      <c r="GD5" s="9">
        <v>108.03733704</v>
      </c>
      <c r="GE5" s="9">
        <v>114.37102983000001</v>
      </c>
      <c r="GF5" s="9">
        <v>129.92193514000002</v>
      </c>
      <c r="GG5" s="9">
        <v>133.87619772276</v>
      </c>
      <c r="GH5" s="9">
        <v>135.70297001904001</v>
      </c>
      <c r="GI5" s="9">
        <v>149.59605227464002</v>
      </c>
      <c r="GJ5" s="9">
        <v>114.64279786195999</v>
      </c>
      <c r="GK5" s="9">
        <v>140.10468910311999</v>
      </c>
      <c r="GL5" s="9">
        <v>134.18651908524001</v>
      </c>
      <c r="GM5" s="9">
        <v>135.3371922374001</v>
      </c>
      <c r="GN5" s="9">
        <v>146.59691141004757</v>
      </c>
      <c r="GO5" s="9">
        <v>133.44598455701384</v>
      </c>
      <c r="GP5" s="9">
        <v>146.71586546886402</v>
      </c>
      <c r="GQ5" s="9">
        <v>181.47991088784408</v>
      </c>
      <c r="GR5" s="9">
        <v>213.28406776816288</v>
      </c>
      <c r="GS5" s="9">
        <v>180.62810172491308</v>
      </c>
      <c r="GT5" s="9">
        <v>174.67289666886685</v>
      </c>
      <c r="GU5" s="9">
        <v>184.73700143120612</v>
      </c>
      <c r="GV5" s="9">
        <v>181.12727448019092</v>
      </c>
      <c r="GW5" s="9">
        <v>194.40101832026778</v>
      </c>
      <c r="GX5" s="9">
        <v>195.67797853689206</v>
      </c>
      <c r="GY5" s="9">
        <v>214.89508266260805</v>
      </c>
      <c r="GZ5" s="9">
        <v>196.32765799819077</v>
      </c>
      <c r="HA5" s="9">
        <v>166.09311677686588</v>
      </c>
      <c r="HB5" s="9">
        <v>179.9559751154269</v>
      </c>
      <c r="HC5" s="9">
        <v>180.61099590413639</v>
      </c>
      <c r="HD5" s="9">
        <v>158.5016437168839</v>
      </c>
      <c r="HE5" s="9">
        <v>185.64619829016007</v>
      </c>
      <c r="HF5" s="9">
        <v>188.54430253285008</v>
      </c>
      <c r="HG5" s="9">
        <v>189.7920273803899</v>
      </c>
      <c r="HH5" s="9">
        <v>193.49250373952009</v>
      </c>
      <c r="HI5" s="9">
        <v>186.91564808061989</v>
      </c>
      <c r="HJ5" s="9">
        <v>175.62144810986013</v>
      </c>
      <c r="HK5" s="9">
        <v>186.31387543506997</v>
      </c>
      <c r="HL5" s="9">
        <v>191.38512537077025</v>
      </c>
      <c r="HM5" s="9">
        <v>181.41540211106013</v>
      </c>
      <c r="HN5" s="9">
        <v>205.58368942998999</v>
      </c>
      <c r="HO5" s="9">
        <v>204.73501982868001</v>
      </c>
      <c r="HP5" s="9">
        <v>237.11675403055014</v>
      </c>
      <c r="HQ5" s="9">
        <v>200.27209941499711</v>
      </c>
      <c r="HR5" s="9">
        <v>188.45198971299828</v>
      </c>
      <c r="HS5" s="9">
        <v>198.66964229869032</v>
      </c>
      <c r="HT5" s="9">
        <v>177.15894344328706</v>
      </c>
      <c r="HU5" s="9">
        <v>176.14854450864215</v>
      </c>
      <c r="HV5" s="9">
        <v>170.04660996493243</v>
      </c>
      <c r="HW5" s="9">
        <v>159.85459149961119</v>
      </c>
      <c r="HX5" s="9">
        <v>186.60869966510933</v>
      </c>
      <c r="HY5" s="9">
        <v>157.92090147954528</v>
      </c>
      <c r="HZ5" s="9">
        <v>171.28753661036865</v>
      </c>
      <c r="IA5" s="9">
        <v>185.11132232</v>
      </c>
      <c r="IB5" s="9">
        <v>192.44318960999999</v>
      </c>
      <c r="IC5" s="9">
        <v>194.34593810999982</v>
      </c>
      <c r="ID5" s="9">
        <v>202.62152252000018</v>
      </c>
      <c r="IE5" s="9">
        <v>216.72333700999945</v>
      </c>
      <c r="IF5" s="9">
        <v>188.05794024739765</v>
      </c>
      <c r="IG5" s="9">
        <v>216.84022898030992</v>
      </c>
      <c r="IH5" s="9">
        <v>225.9552109199997</v>
      </c>
      <c r="II5" s="9">
        <v>224.12005515999988</v>
      </c>
      <c r="IJ5" s="9">
        <v>221.24590010999978</v>
      </c>
      <c r="IK5" s="9">
        <v>203.58579842000003</v>
      </c>
      <c r="IL5" s="9">
        <v>193.18772730000046</v>
      </c>
      <c r="IM5" s="9">
        <v>208.27440370000065</v>
      </c>
      <c r="IN5" s="9">
        <v>224.16858016000114</v>
      </c>
      <c r="IO5" s="9">
        <v>217.38730063000014</v>
      </c>
      <c r="IP5" s="9">
        <v>225.31819058999946</v>
      </c>
      <c r="IQ5" s="9">
        <v>238.43401100000011</v>
      </c>
      <c r="IR5" s="9">
        <v>219.05699499813466</v>
      </c>
      <c r="IS5" s="9">
        <v>245.06356924999957</v>
      </c>
      <c r="IT5" s="9">
        <v>247.58880951999984</v>
      </c>
      <c r="IU5" s="9">
        <v>245.16785369000073</v>
      </c>
      <c r="IV5" s="9">
        <v>242.40478301000019</v>
      </c>
      <c r="IW5" s="9">
        <v>231.77931183000018</v>
      </c>
      <c r="IX5" s="9">
        <v>227.62583490550034</v>
      </c>
      <c r="IY5" s="9">
        <v>242.86083668000052</v>
      </c>
      <c r="IZ5" s="9">
        <v>227.79338068000067</v>
      </c>
      <c r="JA5" s="9">
        <v>256.1380272500005</v>
      </c>
      <c r="JB5" s="9">
        <v>262.05153225000043</v>
      </c>
      <c r="JC5" s="9">
        <v>240.30386140999974</v>
      </c>
      <c r="JD5" s="9">
        <v>248.56452768000003</v>
      </c>
      <c r="JE5" s="9">
        <v>264.39052803000027</v>
      </c>
      <c r="JF5" s="9">
        <v>223.02530949000027</v>
      </c>
      <c r="JG5" s="9">
        <v>231.47216019053522</v>
      </c>
      <c r="JH5" s="9">
        <v>227.2605099810695</v>
      </c>
      <c r="JI5" s="9">
        <v>219.8016193789199</v>
      </c>
      <c r="JJ5" s="9">
        <v>221.37953336310164</v>
      </c>
      <c r="JK5" s="9">
        <v>216.67959932682996</v>
      </c>
      <c r="JL5" s="9">
        <v>217.64753123999952</v>
      </c>
      <c r="JM5" s="9">
        <v>233.50441882373423</v>
      </c>
      <c r="JN5" s="9">
        <v>228.25963004080597</v>
      </c>
      <c r="JO5" s="9">
        <v>236.55588760956746</v>
      </c>
      <c r="JP5" s="9">
        <v>223.50853518168068</v>
      </c>
      <c r="JQ5" s="9">
        <v>235.48163171886148</v>
      </c>
      <c r="JR5" s="9">
        <v>214.77801268876937</v>
      </c>
      <c r="JS5" s="9">
        <v>219.469359236797</v>
      </c>
      <c r="JT5" s="9">
        <v>211.6657360400456</v>
      </c>
      <c r="JU5" s="9">
        <v>214.64806234385992</v>
      </c>
      <c r="JV5" s="9">
        <v>233.98723199492576</v>
      </c>
      <c r="JW5" s="9">
        <v>235.58074272428942</v>
      </c>
      <c r="JX5" s="9">
        <v>237.33388434106706</v>
      </c>
      <c r="JY5" s="9">
        <v>219.56557344297741</v>
      </c>
      <c r="JZ5" s="9">
        <v>224.08858250930217</v>
      </c>
      <c r="KA5" s="9">
        <v>252.46857138678584</v>
      </c>
      <c r="KB5" s="9">
        <v>224.04753839466056</v>
      </c>
      <c r="KC5" s="9">
        <v>225.33622609720413</v>
      </c>
      <c r="KD5" s="9">
        <v>240.17757191259369</v>
      </c>
      <c r="KE5" s="9">
        <v>220.19476012361019</v>
      </c>
      <c r="KF5" s="9">
        <v>216.69445318701594</v>
      </c>
      <c r="KG5" s="9">
        <v>208.15185913269261</v>
      </c>
      <c r="KH5" s="9">
        <v>183.42295604863844</v>
      </c>
      <c r="KI5" s="9">
        <v>211.43530056651005</v>
      </c>
      <c r="KJ5" s="9">
        <v>241.6027740018724</v>
      </c>
      <c r="KK5" s="9">
        <v>236.2686238307617</v>
      </c>
      <c r="KL5" s="9">
        <v>224.63776554081034</v>
      </c>
      <c r="KM5" s="9">
        <v>238.62128031199188</v>
      </c>
      <c r="KN5" s="9">
        <v>241.41236879073276</v>
      </c>
      <c r="KO5" s="9">
        <v>227.57499742421459</v>
      </c>
      <c r="KP5" s="9">
        <v>237.81134168600403</v>
      </c>
      <c r="KQ5" s="9">
        <v>222.54322122346295</v>
      </c>
      <c r="KR5" s="9">
        <v>226.62452518616919</v>
      </c>
      <c r="KS5" s="9">
        <v>227.94438021443781</v>
      </c>
      <c r="KT5" s="9">
        <v>248.95314782173358</v>
      </c>
      <c r="KU5" s="9">
        <v>295.88521758939874</v>
      </c>
      <c r="KV5" s="9">
        <v>292.96990125493539</v>
      </c>
      <c r="KW5" s="9">
        <v>263.28964667930717</v>
      </c>
      <c r="KX5" s="9">
        <v>248.86889358394774</v>
      </c>
      <c r="KY5" s="9">
        <v>266.68347913761812</v>
      </c>
      <c r="KZ5" s="9">
        <v>256.61876387623732</v>
      </c>
      <c r="LA5" s="9">
        <v>351.73062553352145</v>
      </c>
      <c r="LB5" s="9">
        <v>371.97849141152051</v>
      </c>
      <c r="LC5" s="9">
        <v>272.12229272199227</v>
      </c>
      <c r="LD5" s="9">
        <v>259.47250478651318</v>
      </c>
      <c r="LE5" s="9">
        <v>255.12037396565799</v>
      </c>
      <c r="LF5" s="9">
        <v>285.9481350170829</v>
      </c>
      <c r="LG5" s="9">
        <v>301.90866361817382</v>
      </c>
      <c r="LH5" s="9">
        <v>316.16910458874429</v>
      </c>
      <c r="LI5" s="9">
        <v>350.48032261440619</v>
      </c>
      <c r="LJ5" s="9">
        <v>308.86845562224113</v>
      </c>
      <c r="LK5" s="9">
        <v>311.18987839410261</v>
      </c>
      <c r="LL5" s="9">
        <v>259.57985251147346</v>
      </c>
      <c r="LM5" s="9">
        <v>324.91469165530845</v>
      </c>
      <c r="LN5" s="9">
        <v>290.87716681327544</v>
      </c>
      <c r="LO5" s="9">
        <v>284.65116190108</v>
      </c>
      <c r="LP5" s="9">
        <v>293.93306272999996</v>
      </c>
      <c r="LQ5" s="9">
        <v>293.77618873503013</v>
      </c>
      <c r="LR5" s="9">
        <v>332.58786278870343</v>
      </c>
      <c r="LS5" s="9">
        <v>295.8264220659492</v>
      </c>
      <c r="LT5" s="9">
        <v>291.61254810610353</v>
      </c>
      <c r="LU5" s="149"/>
    </row>
    <row r="6" spans="1:333" s="12" customFormat="1" x14ac:dyDescent="0.3">
      <c r="A6" s="10"/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  <c r="IX6" s="10"/>
      <c r="IY6" s="10"/>
      <c r="IZ6" s="10"/>
      <c r="JA6" s="10"/>
      <c r="JB6" s="10"/>
      <c r="JC6" s="10"/>
      <c r="JD6" s="10"/>
      <c r="JE6" s="10"/>
      <c r="JF6" s="10"/>
      <c r="JG6" s="10"/>
      <c r="JH6" s="10"/>
      <c r="JI6" s="10"/>
      <c r="JJ6" s="10"/>
      <c r="JK6" s="10"/>
      <c r="JL6" s="10"/>
      <c r="JM6" s="10"/>
      <c r="JN6" s="10"/>
      <c r="JO6" s="10"/>
      <c r="JP6" s="10"/>
      <c r="JQ6" s="10"/>
      <c r="JR6" s="10"/>
      <c r="JS6" s="10"/>
      <c r="JT6" s="10"/>
      <c r="JU6" s="10"/>
      <c r="JV6" s="10"/>
      <c r="JW6" s="10"/>
      <c r="JX6" s="10"/>
      <c r="JY6" s="10"/>
      <c r="JZ6" s="10"/>
      <c r="KA6" s="10"/>
      <c r="KB6" s="10"/>
      <c r="KC6" s="10"/>
      <c r="KD6" s="10"/>
      <c r="KE6" s="10"/>
      <c r="KF6" s="10"/>
      <c r="KG6" s="10"/>
      <c r="KH6" s="10"/>
      <c r="KI6" s="10"/>
      <c r="KJ6" s="10"/>
      <c r="KK6" s="10"/>
      <c r="KL6" s="10"/>
      <c r="KM6" s="10"/>
      <c r="KN6" s="10"/>
      <c r="KO6" s="10"/>
      <c r="KP6" s="10"/>
      <c r="KQ6" s="10"/>
      <c r="KR6" s="10"/>
      <c r="KS6" s="10"/>
      <c r="KT6" s="10"/>
      <c r="KU6" s="10"/>
      <c r="KV6" s="10"/>
      <c r="KW6" s="10"/>
      <c r="KX6" s="10"/>
      <c r="KY6" s="10"/>
      <c r="KZ6" s="10"/>
      <c r="LA6" s="10"/>
      <c r="LB6" s="10"/>
      <c r="LC6" s="10"/>
      <c r="LD6" s="10"/>
      <c r="LE6" s="10"/>
      <c r="LF6" s="10"/>
      <c r="LG6" s="10"/>
      <c r="LH6" s="10"/>
      <c r="LI6" s="10"/>
      <c r="LJ6" s="10"/>
      <c r="LK6" s="10"/>
      <c r="LL6" s="10"/>
      <c r="LM6" s="10"/>
      <c r="LN6" s="10"/>
      <c r="LO6" s="10"/>
      <c r="LP6" s="10"/>
      <c r="LQ6" s="10"/>
      <c r="LR6" s="10"/>
      <c r="LS6" s="10"/>
      <c r="LT6" s="10"/>
      <c r="LU6" s="149"/>
    </row>
    <row r="7" spans="1:333" x14ac:dyDescent="0.3">
      <c r="A7" s="1" t="s">
        <v>1</v>
      </c>
      <c r="B7" s="1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9">
        <v>5.2690000000000001</v>
      </c>
      <c r="AB7" s="9">
        <v>9.9140000000000015</v>
      </c>
      <c r="AC7" s="9">
        <v>12.922000000000001</v>
      </c>
      <c r="AD7" s="9">
        <v>4.8179999999999996</v>
      </c>
      <c r="AE7" s="9">
        <v>5.6349999999999998</v>
      </c>
      <c r="AF7" s="9">
        <v>7.9793870000000009</v>
      </c>
      <c r="AG7" s="9">
        <v>14.909644869999999</v>
      </c>
      <c r="AH7" s="9">
        <v>20.465606999999999</v>
      </c>
      <c r="AI7" s="9">
        <v>25.34685</v>
      </c>
      <c r="AJ7" s="9">
        <v>26.1294</v>
      </c>
      <c r="AK7" s="9">
        <v>25.836389</v>
      </c>
      <c r="AL7" s="9">
        <v>20.748282</v>
      </c>
      <c r="AM7" s="9">
        <v>44.539177000000002</v>
      </c>
      <c r="AN7" s="9">
        <v>28.529699999999998</v>
      </c>
      <c r="AO7" s="9">
        <v>48.712214000000003</v>
      </c>
      <c r="AP7" s="9">
        <v>30.341035999999999</v>
      </c>
      <c r="AQ7" s="9">
        <v>30.799918000000002</v>
      </c>
      <c r="AR7" s="9">
        <v>40.547252999999998</v>
      </c>
      <c r="AS7" s="9">
        <v>49.765999999999998</v>
      </c>
      <c r="AT7" s="9">
        <v>48.704999999999998</v>
      </c>
      <c r="AU7" s="9">
        <v>54.906999999999996</v>
      </c>
      <c r="AV7" s="9">
        <v>38.417000000000002</v>
      </c>
      <c r="AW7" s="9">
        <v>26.08</v>
      </c>
      <c r="AX7" s="9">
        <v>15.289</v>
      </c>
      <c r="AY7" s="9">
        <v>23.919525</v>
      </c>
      <c r="AZ7" s="9">
        <v>36.486027999999997</v>
      </c>
      <c r="BA7" s="9">
        <v>37.383825999999999</v>
      </c>
      <c r="BB7" s="9">
        <v>20.710142000000001</v>
      </c>
      <c r="BC7" s="9">
        <v>26.931256000000001</v>
      </c>
      <c r="BD7" s="9">
        <v>40.409669999999998</v>
      </c>
      <c r="BE7" s="9">
        <v>50.182561999999997</v>
      </c>
      <c r="BF7" s="9">
        <v>47.228459000000001</v>
      </c>
      <c r="BG7" s="9">
        <v>40.610529999999997</v>
      </c>
      <c r="BH7" s="9">
        <v>36.698503000000002</v>
      </c>
      <c r="BI7" s="9">
        <v>26.442509999999999</v>
      </c>
      <c r="BJ7" s="9">
        <v>17.366032000000001</v>
      </c>
      <c r="BK7" s="9">
        <v>24.206758000000001</v>
      </c>
      <c r="BL7" s="9">
        <v>27.502244999999998</v>
      </c>
      <c r="BM7" s="9">
        <v>30.627490999999999</v>
      </c>
      <c r="BN7" s="9">
        <v>26.809811</v>
      </c>
      <c r="BO7" s="9">
        <v>32.569982000000003</v>
      </c>
      <c r="BP7" s="9">
        <v>35.847161999999997</v>
      </c>
      <c r="BQ7" s="9">
        <v>38.555</v>
      </c>
      <c r="BR7" s="9">
        <v>39.816569999999999</v>
      </c>
      <c r="BS7" s="9">
        <v>30.51857</v>
      </c>
      <c r="BT7" s="9">
        <v>25.94</v>
      </c>
      <c r="BU7" s="9">
        <v>21.574999999999999</v>
      </c>
      <c r="BV7" s="9">
        <v>31.651</v>
      </c>
      <c r="BW7" s="9">
        <v>31.533338000000001</v>
      </c>
      <c r="BX7" s="9">
        <v>21.7928</v>
      </c>
      <c r="BY7" s="9">
        <v>18.541663</v>
      </c>
      <c r="BZ7" s="9">
        <v>12.1396</v>
      </c>
      <c r="CA7" s="9">
        <v>16.0655</v>
      </c>
      <c r="CB7" s="9">
        <v>22.231000000000002</v>
      </c>
      <c r="CC7" s="9">
        <v>26.024999999999999</v>
      </c>
      <c r="CD7" s="9">
        <v>33.092219999999998</v>
      </c>
      <c r="CE7" s="9">
        <v>24.234999999999999</v>
      </c>
      <c r="CF7" s="9">
        <v>14.306151</v>
      </c>
      <c r="CG7" s="9">
        <v>15.465999999999999</v>
      </c>
      <c r="CH7" s="9">
        <v>33.43</v>
      </c>
      <c r="CI7" s="9">
        <v>9.6775120000000001</v>
      </c>
      <c r="CJ7" s="9">
        <v>28.48</v>
      </c>
      <c r="CK7" s="9">
        <v>16.689499999999999</v>
      </c>
      <c r="CL7" s="9">
        <v>8.4579760000000004</v>
      </c>
      <c r="CM7" s="9">
        <v>20.661000000000001</v>
      </c>
      <c r="CN7" s="9">
        <v>40.51</v>
      </c>
      <c r="CO7" s="9">
        <v>38.424999999999997</v>
      </c>
      <c r="CP7" s="9">
        <v>34.797752000000003</v>
      </c>
      <c r="CQ7" s="9">
        <v>23.626999999999999</v>
      </c>
      <c r="CR7" s="9">
        <v>13.446</v>
      </c>
      <c r="CS7" s="9">
        <v>19.360211</v>
      </c>
      <c r="CT7" s="9">
        <v>28.666412000000001</v>
      </c>
      <c r="CU7" s="9">
        <v>21.747</v>
      </c>
      <c r="CV7" s="9">
        <v>19.113</v>
      </c>
      <c r="CW7" s="9">
        <v>13.365</v>
      </c>
      <c r="CX7" s="9">
        <v>13.502445</v>
      </c>
      <c r="CY7" s="9">
        <v>24.827299</v>
      </c>
      <c r="CZ7" s="9">
        <v>23.471243000000001</v>
      </c>
      <c r="DA7" s="9">
        <v>20.663319000000001</v>
      </c>
      <c r="DB7" s="9">
        <v>14.85158</v>
      </c>
      <c r="DC7" s="9">
        <v>10.088915999999999</v>
      </c>
      <c r="DD7" s="9">
        <v>5.25</v>
      </c>
      <c r="DE7" s="9">
        <v>7.6434550000000003</v>
      </c>
      <c r="DF7" s="9">
        <v>12.347</v>
      </c>
      <c r="DG7" s="9">
        <v>13.45</v>
      </c>
      <c r="DH7" s="9">
        <v>9.4663029999999999</v>
      </c>
      <c r="DI7" s="9">
        <v>9.2374740000000006</v>
      </c>
      <c r="DJ7" s="9">
        <v>5.5178589999999996</v>
      </c>
      <c r="DK7" s="9">
        <v>8.4218810000000008</v>
      </c>
      <c r="DL7" s="9">
        <v>8.4499999999999993</v>
      </c>
      <c r="DM7" s="9">
        <v>12.521947000000001</v>
      </c>
      <c r="DN7" s="9">
        <v>11.347072000000001</v>
      </c>
      <c r="DO7" s="9">
        <v>8.1</v>
      </c>
      <c r="DP7" s="9">
        <v>6.8810000000000002</v>
      </c>
      <c r="DQ7" s="9">
        <v>7.4939999999999998</v>
      </c>
      <c r="DR7" s="9">
        <v>8.7560000000000002</v>
      </c>
      <c r="DS7" s="9">
        <v>10.101963</v>
      </c>
      <c r="DT7" s="9">
        <v>9.6329840000000004</v>
      </c>
      <c r="DU7" s="9">
        <v>7.5944269999999996</v>
      </c>
      <c r="DV7" s="9">
        <v>4.05</v>
      </c>
      <c r="DW7" s="9">
        <v>4.0999999999999996</v>
      </c>
      <c r="DX7" s="9">
        <v>7.05</v>
      </c>
      <c r="DY7" s="9">
        <v>7.98</v>
      </c>
      <c r="DZ7" s="9">
        <v>6.88</v>
      </c>
      <c r="EA7" s="9">
        <v>6.7052529999999999</v>
      </c>
      <c r="EB7" s="9">
        <v>5.8360000000000003</v>
      </c>
      <c r="EC7" s="9">
        <v>5.6459999999999999</v>
      </c>
      <c r="ED7" s="9">
        <v>9.6775120000000001</v>
      </c>
      <c r="EE7" s="9">
        <v>11.567850999999999</v>
      </c>
      <c r="EF7" s="9">
        <v>7.5927769999999999</v>
      </c>
      <c r="EG7" s="9">
        <v>6.823385</v>
      </c>
      <c r="EH7" s="9">
        <v>7.0949999999999998</v>
      </c>
      <c r="EI7" s="9">
        <v>9.5210000000000008</v>
      </c>
      <c r="EJ7" s="9">
        <v>11.31</v>
      </c>
      <c r="EK7" s="9">
        <v>12.574972000000001</v>
      </c>
      <c r="EL7" s="9">
        <v>10.435632999999999</v>
      </c>
      <c r="EM7" s="9">
        <v>6.8451649999999997</v>
      </c>
      <c r="EN7" s="9">
        <v>4.7960450000000003</v>
      </c>
      <c r="EO7" s="9">
        <v>6.94</v>
      </c>
      <c r="EP7" s="9">
        <v>9.9712689999999995</v>
      </c>
      <c r="EQ7" s="9">
        <v>11.161549000000001</v>
      </c>
      <c r="ER7" s="9">
        <v>7.905176</v>
      </c>
      <c r="ES7" s="9">
        <v>6.9316430000000002</v>
      </c>
      <c r="ET7" s="9">
        <v>5.5312359999999998</v>
      </c>
      <c r="EU7" s="9">
        <v>5.9728320000000004</v>
      </c>
      <c r="EV7" s="9">
        <v>10.043870999999999</v>
      </c>
      <c r="EW7" s="9">
        <v>13.391999999999999</v>
      </c>
      <c r="EX7" s="9">
        <v>11.215999999999999</v>
      </c>
      <c r="EY7" s="9">
        <v>11.920394</v>
      </c>
      <c r="EZ7" s="9">
        <v>8.7680000000000007</v>
      </c>
      <c r="FA7" s="9">
        <v>8.6174130000000009</v>
      </c>
      <c r="FB7" s="9">
        <v>12.668868</v>
      </c>
      <c r="FC7" s="9">
        <v>12.80508</v>
      </c>
      <c r="FD7" s="9">
        <v>7.8940000000000001</v>
      </c>
      <c r="FE7" s="9">
        <v>6.9376340000000001</v>
      </c>
      <c r="FF7" s="9">
        <v>8.2487209999999997</v>
      </c>
      <c r="FG7" s="9">
        <v>8.3014514399999992</v>
      </c>
      <c r="FH7" s="9">
        <v>12.369677100000001</v>
      </c>
      <c r="FI7" s="9">
        <v>11.450326</v>
      </c>
      <c r="FJ7" s="9">
        <v>12.390484000000001</v>
      </c>
      <c r="FK7" s="9">
        <v>13.932031</v>
      </c>
      <c r="FL7" s="9">
        <v>15.348000000000001</v>
      </c>
      <c r="FM7" s="9">
        <v>16.78</v>
      </c>
      <c r="FN7" s="9">
        <v>18.07</v>
      </c>
      <c r="FO7" s="9">
        <v>18.618507000000001</v>
      </c>
      <c r="FP7" s="9">
        <v>16.541893999999999</v>
      </c>
      <c r="FQ7" s="9">
        <v>10.032617</v>
      </c>
      <c r="FR7" s="9">
        <v>9.2810000000000006</v>
      </c>
      <c r="FS7" s="9">
        <v>14.407999999999999</v>
      </c>
      <c r="FT7" s="9">
        <v>14.836</v>
      </c>
      <c r="FU7" s="9">
        <v>19.606999999999999</v>
      </c>
      <c r="FV7" s="9">
        <v>16.114000000000001</v>
      </c>
      <c r="FW7" s="9">
        <v>14.673</v>
      </c>
      <c r="FX7" s="9">
        <v>13.744</v>
      </c>
      <c r="FY7" s="9">
        <v>10.967000000000001</v>
      </c>
      <c r="FZ7" s="9">
        <v>14.55</v>
      </c>
      <c r="GA7" s="9">
        <v>13.712</v>
      </c>
      <c r="GB7" s="9">
        <v>14.394</v>
      </c>
      <c r="GC7" s="9">
        <v>13.97</v>
      </c>
      <c r="GD7" s="9">
        <v>13.356999999999999</v>
      </c>
      <c r="GE7" s="9">
        <v>22.96</v>
      </c>
      <c r="GF7" s="9">
        <v>22.207999000000001</v>
      </c>
      <c r="GG7" s="9">
        <v>28.367743000000001</v>
      </c>
      <c r="GH7" s="9">
        <v>20.145786999999999</v>
      </c>
      <c r="GI7" s="9">
        <v>24.222000000000001</v>
      </c>
      <c r="GJ7" s="9">
        <v>12.955518</v>
      </c>
      <c r="GK7" s="9">
        <v>17.907</v>
      </c>
      <c r="GL7" s="9">
        <v>24.318777999999998</v>
      </c>
      <c r="GM7" s="9">
        <v>28.339099000000001</v>
      </c>
      <c r="GN7" s="9">
        <v>23.921182000000002</v>
      </c>
      <c r="GO7" s="9">
        <v>18.337886999999998</v>
      </c>
      <c r="GP7" s="9">
        <v>17.649992000000001</v>
      </c>
      <c r="GQ7" s="9">
        <v>21.000153000000001</v>
      </c>
      <c r="GR7" s="9">
        <v>29.484786</v>
      </c>
      <c r="GS7" s="9">
        <v>39.726999999999997</v>
      </c>
      <c r="GT7" s="9">
        <v>37.024999999999999</v>
      </c>
      <c r="GU7" s="9">
        <v>36.298000000000002</v>
      </c>
      <c r="GV7" s="9">
        <v>31.754999999999999</v>
      </c>
      <c r="GW7" s="9">
        <v>29.486999999999998</v>
      </c>
      <c r="GX7" s="9">
        <v>35.603999999999999</v>
      </c>
      <c r="GY7" s="9">
        <v>42.018000000000001</v>
      </c>
      <c r="GZ7" s="9">
        <v>41.571890000000003</v>
      </c>
      <c r="HA7" s="9">
        <v>26.792224000000001</v>
      </c>
      <c r="HB7" s="9">
        <v>21.003596000000002</v>
      </c>
      <c r="HC7" s="9">
        <v>27.597999999999999</v>
      </c>
      <c r="HD7" s="9">
        <v>29.240134999999999</v>
      </c>
      <c r="HE7" s="9">
        <v>30.728000000000002</v>
      </c>
      <c r="HF7" s="9">
        <v>31.204062</v>
      </c>
      <c r="HG7" s="9">
        <v>23.937999999999999</v>
      </c>
      <c r="HH7" s="9">
        <v>19.084</v>
      </c>
      <c r="HI7" s="9">
        <v>20.263999999999999</v>
      </c>
      <c r="HJ7" s="9">
        <v>23.210999999999999</v>
      </c>
      <c r="HK7" s="9">
        <v>23.395</v>
      </c>
      <c r="HL7" s="9">
        <v>23.577000000000002</v>
      </c>
      <c r="HM7" s="9">
        <v>18.300063999999999</v>
      </c>
      <c r="HN7" s="9">
        <v>18.644338999999999</v>
      </c>
      <c r="HO7" s="9">
        <v>22.097487000000001</v>
      </c>
      <c r="HP7" s="9">
        <v>25.765000000000001</v>
      </c>
      <c r="HQ7" s="9">
        <v>25.350999999999999</v>
      </c>
      <c r="HR7" s="9">
        <v>26.399000000000001</v>
      </c>
      <c r="HS7" s="9">
        <v>21.792000000000002</v>
      </c>
      <c r="HT7" s="9">
        <v>15.547000000000001</v>
      </c>
      <c r="HU7" s="9">
        <v>18.233000000000001</v>
      </c>
      <c r="HV7" s="9">
        <v>23.03</v>
      </c>
      <c r="HW7" s="9">
        <v>27.533999999999999</v>
      </c>
      <c r="HX7" s="9">
        <v>23.658999999999999</v>
      </c>
      <c r="HY7" s="9">
        <v>18.957000000000001</v>
      </c>
      <c r="HZ7" s="9">
        <v>23.3</v>
      </c>
      <c r="IA7" s="9">
        <v>32.143000000000001</v>
      </c>
      <c r="IB7" s="9">
        <v>28.692</v>
      </c>
      <c r="IC7" s="9">
        <v>29.981000000000002</v>
      </c>
      <c r="ID7" s="9">
        <v>27.832000000000001</v>
      </c>
      <c r="IE7" s="9">
        <v>34.102772999999999</v>
      </c>
      <c r="IF7" s="9">
        <v>26.873000000000001</v>
      </c>
      <c r="IG7" s="9">
        <v>40.022317000000001</v>
      </c>
      <c r="IH7" s="9">
        <v>57.947758</v>
      </c>
      <c r="II7" s="9">
        <v>54.629300999999998</v>
      </c>
      <c r="IJ7" s="9">
        <v>44.363391979999982</v>
      </c>
      <c r="IK7" s="9">
        <v>48.825274</v>
      </c>
      <c r="IL7" s="9">
        <v>30.454999999999998</v>
      </c>
      <c r="IM7" s="9">
        <v>34.660802990000008</v>
      </c>
      <c r="IN7" s="9">
        <v>36.968679999999985</v>
      </c>
      <c r="IO7" s="9">
        <v>33.707008999999999</v>
      </c>
      <c r="IP7" s="9">
        <v>36.163095010000021</v>
      </c>
      <c r="IQ7" s="9">
        <v>30.183</v>
      </c>
      <c r="IR7" s="9">
        <v>21.86458201000001</v>
      </c>
      <c r="IS7" s="9">
        <v>35.771563999999998</v>
      </c>
      <c r="IT7" s="9">
        <v>36.618851000000006</v>
      </c>
      <c r="IU7" s="9">
        <v>40.528135990000003</v>
      </c>
      <c r="IV7" s="9">
        <v>31.547706990000002</v>
      </c>
      <c r="IW7" s="9">
        <v>23.492244030000002</v>
      </c>
      <c r="IX7" s="9">
        <v>23.678821000000006</v>
      </c>
      <c r="IY7" s="9">
        <v>28.816703010000001</v>
      </c>
      <c r="IZ7" s="9">
        <v>30.132067009999997</v>
      </c>
      <c r="JA7" s="9">
        <v>42.62253699</v>
      </c>
      <c r="JB7" s="9">
        <v>42.289981009999998</v>
      </c>
      <c r="JC7" s="9">
        <v>38.04144698999999</v>
      </c>
      <c r="JD7" s="9">
        <v>30.501898000000001</v>
      </c>
      <c r="JE7" s="9">
        <v>48.267449060000004</v>
      </c>
      <c r="JF7" s="9">
        <v>42.769952009999997</v>
      </c>
      <c r="JG7" s="9">
        <v>45.074321010000006</v>
      </c>
      <c r="JH7" s="9">
        <v>35.936513989999987</v>
      </c>
      <c r="JI7" s="9">
        <v>24.992425990000001</v>
      </c>
      <c r="JJ7" s="9">
        <v>22.737118989999999</v>
      </c>
      <c r="JK7" s="9">
        <v>26.709567010000004</v>
      </c>
      <c r="JL7" s="9">
        <v>25.46288199</v>
      </c>
      <c r="JM7" s="9">
        <v>38.881751990000005</v>
      </c>
      <c r="JN7" s="9">
        <v>35.533377199999983</v>
      </c>
      <c r="JO7" s="9">
        <v>38.871924979999996</v>
      </c>
      <c r="JP7" s="9">
        <v>41.071819990000009</v>
      </c>
      <c r="JQ7" s="9">
        <v>35.910194990000008</v>
      </c>
      <c r="JR7" s="9">
        <v>32.823086000000004</v>
      </c>
      <c r="JS7" s="9">
        <v>37.862273019999996</v>
      </c>
      <c r="JT7" s="9">
        <v>32.469005009999997</v>
      </c>
      <c r="JU7" s="9">
        <v>26.700634010000012</v>
      </c>
      <c r="JV7" s="9">
        <v>28.000827659999999</v>
      </c>
      <c r="JW7" s="9">
        <v>29.49382263</v>
      </c>
      <c r="JX7" s="9">
        <v>29.77818401</v>
      </c>
      <c r="JY7" s="9">
        <v>39.69965999999998</v>
      </c>
      <c r="JZ7" s="9">
        <v>36.903355990000001</v>
      </c>
      <c r="KA7" s="9">
        <v>40.936304999999997</v>
      </c>
      <c r="KB7" s="9">
        <v>32.805612850000003</v>
      </c>
      <c r="KC7" s="9">
        <v>30.580317000000001</v>
      </c>
      <c r="KD7" s="9">
        <v>35.262566980000003</v>
      </c>
      <c r="KE7" s="9">
        <v>43.068137980000003</v>
      </c>
      <c r="KF7" s="9">
        <v>32.536656999999998</v>
      </c>
      <c r="KG7" s="9">
        <v>29.320762979999998</v>
      </c>
      <c r="KH7" s="9">
        <v>22.933326019999999</v>
      </c>
      <c r="KI7" s="9">
        <v>25.002230020000002</v>
      </c>
      <c r="KJ7" s="9">
        <v>33.584756019999993</v>
      </c>
      <c r="KK7" s="9">
        <v>32.101651998000001</v>
      </c>
      <c r="KL7" s="9">
        <v>25.121213009999998</v>
      </c>
      <c r="KM7" s="9">
        <v>23.118158820000001</v>
      </c>
      <c r="KN7" s="9">
        <v>31.120807210000002</v>
      </c>
      <c r="KO7" s="9">
        <v>27.594778009999999</v>
      </c>
      <c r="KP7" s="9">
        <v>26.53142884</v>
      </c>
      <c r="KQ7" s="9">
        <v>27.057082019999999</v>
      </c>
      <c r="KR7" s="9">
        <v>30.084415140000001</v>
      </c>
      <c r="KS7" s="9">
        <v>22.864680010000001</v>
      </c>
      <c r="KT7" s="9">
        <v>24.232078999999999</v>
      </c>
      <c r="KU7" s="9">
        <v>50.40673881</v>
      </c>
      <c r="KV7" s="9">
        <v>51.416281959999999</v>
      </c>
      <c r="KW7" s="9">
        <v>48.981950020000006</v>
      </c>
      <c r="KX7" s="9">
        <v>48.501363179999984</v>
      </c>
      <c r="KY7" s="9">
        <v>50.443413990000003</v>
      </c>
      <c r="KZ7" s="9">
        <v>39.362589010000015</v>
      </c>
      <c r="LA7" s="9">
        <v>47.571639020000006</v>
      </c>
      <c r="LB7" s="9">
        <v>49.591171980000013</v>
      </c>
      <c r="LC7" s="9">
        <v>49.495983840000008</v>
      </c>
      <c r="LD7" s="9">
        <v>47.05924000000001</v>
      </c>
      <c r="LE7" s="9">
        <v>38.58416600000001</v>
      </c>
      <c r="LF7" s="9">
        <v>43.741276000000006</v>
      </c>
      <c r="LG7" s="9">
        <v>49.387020000000014</v>
      </c>
      <c r="LH7" s="9">
        <v>42.719519999999996</v>
      </c>
      <c r="LI7" s="9">
        <v>43.661836999999998</v>
      </c>
      <c r="LJ7" s="9">
        <v>41.626873999999994</v>
      </c>
      <c r="LK7" s="9">
        <v>35.737154000000004</v>
      </c>
      <c r="LL7" s="9">
        <v>32.734227999999995</v>
      </c>
      <c r="LM7" s="9">
        <v>34.130321000000002</v>
      </c>
      <c r="LN7" s="9">
        <v>33.596203999999993</v>
      </c>
      <c r="LO7" s="9">
        <v>40.686546000000007</v>
      </c>
      <c r="LP7" s="9">
        <v>35.681875000000012</v>
      </c>
      <c r="LQ7" s="9">
        <v>28.910532999999994</v>
      </c>
      <c r="LR7" s="9">
        <v>35.220032979999999</v>
      </c>
      <c r="LS7" s="9">
        <v>41.958867999999995</v>
      </c>
      <c r="LT7" s="9">
        <v>32.414587999999995</v>
      </c>
      <c r="LU7" s="149"/>
    </row>
    <row r="8" spans="1:333" x14ac:dyDescent="0.3">
      <c r="A8" s="2" t="s">
        <v>199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4">
        <v>0.106</v>
      </c>
      <c r="AB8" s="14">
        <v>0.189</v>
      </c>
      <c r="AC8" s="14">
        <v>0.21200000000000002</v>
      </c>
      <c r="AD8" s="14">
        <v>7.0000000000000007E-2</v>
      </c>
      <c r="AE8" s="14">
        <v>8.4000000000000019E-2</v>
      </c>
      <c r="AF8" s="14">
        <v>0.11271200000000001</v>
      </c>
      <c r="AG8" s="14">
        <v>0.20977799999999999</v>
      </c>
      <c r="AH8" s="14">
        <v>0.31112299999999998</v>
      </c>
      <c r="AI8" s="14">
        <v>0.36237999999999998</v>
      </c>
      <c r="AJ8" s="14">
        <v>0.36685899999999999</v>
      </c>
      <c r="AK8" s="14">
        <v>0.338252</v>
      </c>
      <c r="AL8" s="14">
        <v>0.23446400000000001</v>
      </c>
      <c r="AM8" s="14">
        <v>0.349194</v>
      </c>
      <c r="AN8" s="14">
        <v>0.216972</v>
      </c>
      <c r="AO8" s="14">
        <v>0.34845300000000001</v>
      </c>
      <c r="AP8" s="14">
        <v>0.161408</v>
      </c>
      <c r="AQ8" s="14">
        <v>0.165016</v>
      </c>
      <c r="AR8" s="14">
        <v>0.23713500000000001</v>
      </c>
      <c r="AS8" s="14">
        <v>0.32668900000000001</v>
      </c>
      <c r="AT8" s="14">
        <v>0.31225000000000003</v>
      </c>
      <c r="AU8" s="14">
        <v>0.34442299999999998</v>
      </c>
      <c r="AV8" s="14">
        <v>0.24043500000000001</v>
      </c>
      <c r="AW8" s="14">
        <v>0.156336</v>
      </c>
      <c r="AX8" s="14">
        <v>0.10254099999999999</v>
      </c>
      <c r="AY8" s="14">
        <v>0.187669</v>
      </c>
      <c r="AZ8" s="14">
        <v>0.27420099999999997</v>
      </c>
      <c r="BA8" s="14">
        <v>0.28465000000000001</v>
      </c>
      <c r="BB8" s="14">
        <v>0.171787</v>
      </c>
      <c r="BC8" s="14">
        <v>0.22838600000000001</v>
      </c>
      <c r="BD8" s="14">
        <v>0.39532899999999999</v>
      </c>
      <c r="BE8" s="14">
        <v>0.55253200000000002</v>
      </c>
      <c r="BF8" s="14">
        <v>0.52238099999999998</v>
      </c>
      <c r="BG8" s="14">
        <v>0.438112</v>
      </c>
      <c r="BH8" s="14">
        <v>0.39498</v>
      </c>
      <c r="BI8" s="14">
        <v>0.28124700000000002</v>
      </c>
      <c r="BJ8" s="14">
        <v>0.18412100000000001</v>
      </c>
      <c r="BK8" s="14">
        <v>0.26999000000000001</v>
      </c>
      <c r="BL8" s="14">
        <v>0.33861400000000003</v>
      </c>
      <c r="BM8" s="14">
        <v>0.37132399999999999</v>
      </c>
      <c r="BN8" s="14">
        <v>0.340341</v>
      </c>
      <c r="BO8" s="14">
        <v>0.436251</v>
      </c>
      <c r="BP8" s="14">
        <v>0.51439400000000002</v>
      </c>
      <c r="BQ8" s="14">
        <v>0.55168799999999996</v>
      </c>
      <c r="BR8" s="14">
        <v>0.49637799999999999</v>
      </c>
      <c r="BS8" s="14">
        <v>0.33629100000000001</v>
      </c>
      <c r="BT8" s="14">
        <v>0.26882499999999998</v>
      </c>
      <c r="BU8" s="14">
        <v>0.193</v>
      </c>
      <c r="BV8" s="14">
        <v>0.29114000000000001</v>
      </c>
      <c r="BW8" s="14">
        <v>0.33665099999999998</v>
      </c>
      <c r="BX8" s="14">
        <v>0.251803</v>
      </c>
      <c r="BY8" s="14">
        <v>0.22007199999999999</v>
      </c>
      <c r="BZ8" s="14">
        <v>0.130829</v>
      </c>
      <c r="CA8" s="14">
        <v>0.17960400000000001</v>
      </c>
      <c r="CB8" s="14">
        <v>0.245481</v>
      </c>
      <c r="CC8" s="14">
        <v>0.28355599999999997</v>
      </c>
      <c r="CD8" s="14">
        <v>0.333343</v>
      </c>
      <c r="CE8" s="14">
        <v>0.23399900000000001</v>
      </c>
      <c r="CF8" s="14">
        <v>0.138264</v>
      </c>
      <c r="CG8" s="14">
        <v>0.15256</v>
      </c>
      <c r="CH8" s="14">
        <v>0.35624099999999997</v>
      </c>
      <c r="CI8" s="14">
        <v>0.36978299999999997</v>
      </c>
      <c r="CJ8" s="14">
        <v>0.35020000000000001</v>
      </c>
      <c r="CK8" s="14">
        <v>0.2079</v>
      </c>
      <c r="CL8" s="14">
        <v>9.9123000000000003E-2</v>
      </c>
      <c r="CM8" s="14">
        <v>0.242062</v>
      </c>
      <c r="CN8" s="14">
        <v>0.46840300000000001</v>
      </c>
      <c r="CO8" s="14">
        <v>0.42802000000000001</v>
      </c>
      <c r="CP8" s="14">
        <v>0.40271000000000001</v>
      </c>
      <c r="CQ8" s="14">
        <v>0.28803299999999998</v>
      </c>
      <c r="CR8" s="14">
        <v>0.17303099999999999</v>
      </c>
      <c r="CS8" s="14">
        <v>0.26597799999999999</v>
      </c>
      <c r="CT8" s="14">
        <v>0.41561700000000001</v>
      </c>
      <c r="CU8" s="14">
        <v>0.34202900000000003</v>
      </c>
      <c r="CV8" s="14">
        <v>0.30398700000000001</v>
      </c>
      <c r="CW8" s="14">
        <v>0.21867600000000001</v>
      </c>
      <c r="CX8" s="14">
        <v>0.225025</v>
      </c>
      <c r="CY8" s="14">
        <v>0.41190300000000002</v>
      </c>
      <c r="CZ8" s="14">
        <v>0.365788</v>
      </c>
      <c r="DA8" s="14">
        <v>0.30096299999999998</v>
      </c>
      <c r="DB8" s="14">
        <v>0.207953</v>
      </c>
      <c r="DC8" s="14">
        <v>0.14979000000000001</v>
      </c>
      <c r="DD8" s="14">
        <v>9.5000000000000001E-2</v>
      </c>
      <c r="DE8" s="14">
        <v>0.153221</v>
      </c>
      <c r="DF8" s="14">
        <v>0.26477099999999998</v>
      </c>
      <c r="DG8" s="14">
        <v>0.29102899999999998</v>
      </c>
      <c r="DH8" s="14">
        <v>0.220302</v>
      </c>
      <c r="DI8" s="14">
        <v>0.23222899999999999</v>
      </c>
      <c r="DJ8" s="14">
        <v>0.13875999999999999</v>
      </c>
      <c r="DK8" s="14">
        <v>0.227909</v>
      </c>
      <c r="DL8" s="14">
        <v>0.23242699999999999</v>
      </c>
      <c r="DM8" s="14">
        <v>0.34086300000000003</v>
      </c>
      <c r="DN8" s="14">
        <v>0.29706700000000003</v>
      </c>
      <c r="DO8" s="14">
        <v>0.21207300000000001</v>
      </c>
      <c r="DP8" s="14">
        <v>0.17769699999999999</v>
      </c>
      <c r="DQ8" s="14">
        <v>0.19942699999999999</v>
      </c>
      <c r="DR8" s="14">
        <v>0.27019300000000002</v>
      </c>
      <c r="DS8" s="14">
        <v>0.33577200000000001</v>
      </c>
      <c r="DT8" s="14">
        <v>0.35432599999999997</v>
      </c>
      <c r="DU8" s="14">
        <v>0.29100100000000001</v>
      </c>
      <c r="DV8" s="14">
        <v>0.153004</v>
      </c>
      <c r="DW8" s="14">
        <v>0.15012</v>
      </c>
      <c r="DX8" s="14">
        <v>0.27411600000000003</v>
      </c>
      <c r="DY8" s="14">
        <v>0.31340200000000001</v>
      </c>
      <c r="DZ8" s="14">
        <v>0.27116499999999999</v>
      </c>
      <c r="EA8" s="14">
        <v>0.22864300000000001</v>
      </c>
      <c r="EB8" s="14">
        <v>0.18795400000000001</v>
      </c>
      <c r="EC8" s="14">
        <v>0.226435</v>
      </c>
      <c r="ED8" s="14">
        <v>0.36978299999999997</v>
      </c>
      <c r="EE8" s="14">
        <v>0.42863200000000001</v>
      </c>
      <c r="EF8" s="14">
        <v>0.29310199999999997</v>
      </c>
      <c r="EG8" s="14">
        <v>0.25048999999999999</v>
      </c>
      <c r="EH8" s="14">
        <v>0.222886</v>
      </c>
      <c r="EI8" s="14">
        <v>0.262187</v>
      </c>
      <c r="EJ8" s="14">
        <v>0.305178</v>
      </c>
      <c r="EK8" s="14">
        <v>0.30072100000000002</v>
      </c>
      <c r="EL8" s="14">
        <v>0.23072000000000001</v>
      </c>
      <c r="EM8" s="14">
        <v>0.16211100000000001</v>
      </c>
      <c r="EN8" s="14">
        <v>0.121605</v>
      </c>
      <c r="EO8" s="14">
        <v>0.16206300000000001</v>
      </c>
      <c r="EP8" s="14">
        <v>0.25280799999999998</v>
      </c>
      <c r="EQ8" s="14">
        <v>0.28536600000000001</v>
      </c>
      <c r="ER8" s="14">
        <v>0.20085800000000001</v>
      </c>
      <c r="ES8" s="14">
        <v>0.176649</v>
      </c>
      <c r="ET8" s="14">
        <v>0.133774</v>
      </c>
      <c r="EU8" s="14">
        <v>0.13811999999999999</v>
      </c>
      <c r="EV8" s="14">
        <v>0.228407</v>
      </c>
      <c r="EW8" s="14">
        <v>0.29630099999999998</v>
      </c>
      <c r="EX8" s="14">
        <v>0.23519300000000001</v>
      </c>
      <c r="EY8" s="14">
        <v>0.23557800000000001</v>
      </c>
      <c r="EZ8" s="14">
        <v>0.17759900000000001</v>
      </c>
      <c r="FA8" s="14">
        <v>0.18090100000000001</v>
      </c>
      <c r="FB8" s="14">
        <v>0.26357799999999998</v>
      </c>
      <c r="FC8" s="14">
        <v>0.28409000000000001</v>
      </c>
      <c r="FD8" s="14">
        <v>0.18800500000000001</v>
      </c>
      <c r="FE8" s="14">
        <v>0.162856</v>
      </c>
      <c r="FF8" s="14">
        <v>0.18593299999999999</v>
      </c>
      <c r="FG8" s="14">
        <v>0.18288099999999999</v>
      </c>
      <c r="FH8" s="14">
        <v>0.235406</v>
      </c>
      <c r="FI8" s="14">
        <v>0.21183099999999999</v>
      </c>
      <c r="FJ8" s="14">
        <v>0.21463199999999999</v>
      </c>
      <c r="FK8" s="14">
        <v>0.19541700000000001</v>
      </c>
      <c r="FL8" s="14">
        <v>0.21138799999999999</v>
      </c>
      <c r="FM8" s="14">
        <v>0.218475</v>
      </c>
      <c r="FN8" s="14">
        <v>0.22914100000000001</v>
      </c>
      <c r="FO8" s="14">
        <v>0.24801300000000001</v>
      </c>
      <c r="FP8" s="14">
        <v>0.219447</v>
      </c>
      <c r="FQ8" s="14">
        <v>0.142288</v>
      </c>
      <c r="FR8" s="14">
        <v>0.121696</v>
      </c>
      <c r="FS8" s="14">
        <v>0.182501</v>
      </c>
      <c r="FT8" s="14">
        <v>0.180344</v>
      </c>
      <c r="FU8" s="14">
        <v>0.228794</v>
      </c>
      <c r="FV8" s="14">
        <v>0.16576199999999999</v>
      </c>
      <c r="FW8" s="14">
        <v>0.15601000000000001</v>
      </c>
      <c r="FX8" s="14">
        <v>0.14664199999999999</v>
      </c>
      <c r="FY8" s="14">
        <v>0.123321</v>
      </c>
      <c r="FZ8" s="14">
        <v>0.18709799999999999</v>
      </c>
      <c r="GA8" s="14">
        <v>0.17630999999999999</v>
      </c>
      <c r="GB8" s="14">
        <v>0.17552599999999999</v>
      </c>
      <c r="GC8" s="14">
        <v>0.15854799999999999</v>
      </c>
      <c r="GD8" s="14">
        <v>0.15557099999999999</v>
      </c>
      <c r="GE8" s="14">
        <v>0.25072800000000001</v>
      </c>
      <c r="GF8" s="14">
        <v>0.24870900000000001</v>
      </c>
      <c r="GG8" s="14">
        <v>0.31612800000000002</v>
      </c>
      <c r="GH8" s="14">
        <v>0.22209899999999999</v>
      </c>
      <c r="GI8" s="14">
        <v>0.265399</v>
      </c>
      <c r="GJ8" s="14">
        <v>0.137156</v>
      </c>
      <c r="GK8" s="14">
        <v>0.18456</v>
      </c>
      <c r="GL8" s="14">
        <v>0.24478900000000001</v>
      </c>
      <c r="GM8" s="14">
        <v>0.26886399999999999</v>
      </c>
      <c r="GN8" s="14">
        <v>0.230849</v>
      </c>
      <c r="GO8" s="14">
        <v>0.179394</v>
      </c>
      <c r="GP8" s="14">
        <v>0.17257600000000001</v>
      </c>
      <c r="GQ8" s="14">
        <v>0.19886400000000001</v>
      </c>
      <c r="GR8" s="14">
        <v>0.27251900000000001</v>
      </c>
      <c r="GS8" s="14">
        <v>0.360875</v>
      </c>
      <c r="GT8" s="14">
        <v>0.31834600000000002</v>
      </c>
      <c r="GU8" s="14">
        <v>0.279248</v>
      </c>
      <c r="GV8" s="14">
        <v>0.23722599999999999</v>
      </c>
      <c r="GW8" s="14">
        <v>0.23144200000000001</v>
      </c>
      <c r="GX8" s="14">
        <v>0.27810699999999999</v>
      </c>
      <c r="GY8" s="14">
        <v>0.32507999999999998</v>
      </c>
      <c r="GZ8" s="14">
        <v>0.324127</v>
      </c>
      <c r="HA8" s="14">
        <v>0.21284600000000001</v>
      </c>
      <c r="HB8" s="14">
        <v>0.179564</v>
      </c>
      <c r="HC8" s="14">
        <v>0.26672200000000001</v>
      </c>
      <c r="HD8" s="14">
        <v>0.29897800000000002</v>
      </c>
      <c r="HE8" s="14">
        <v>0.33221099999999998</v>
      </c>
      <c r="HF8" s="14">
        <v>0.321355</v>
      </c>
      <c r="HG8" s="14">
        <v>0.256579</v>
      </c>
      <c r="HH8" s="14">
        <v>0.20572499999999999</v>
      </c>
      <c r="HI8" s="14">
        <v>0.22062000000000001</v>
      </c>
      <c r="HJ8" s="14">
        <v>0.25402599999999997</v>
      </c>
      <c r="HK8" s="14">
        <v>0.26592700000000002</v>
      </c>
      <c r="HL8" s="14">
        <v>0.26027499999999998</v>
      </c>
      <c r="HM8" s="14">
        <v>0.198988</v>
      </c>
      <c r="HN8" s="14">
        <v>0.19901099999999999</v>
      </c>
      <c r="HO8" s="14">
        <v>0.23517099999999999</v>
      </c>
      <c r="HP8" s="14">
        <v>0.27277899999999999</v>
      </c>
      <c r="HQ8" s="14">
        <v>0.26431399999999999</v>
      </c>
      <c r="HR8" s="14">
        <v>0.26437300000000002</v>
      </c>
      <c r="HS8" s="14">
        <v>0.217809</v>
      </c>
      <c r="HT8" s="14">
        <v>0.15264</v>
      </c>
      <c r="HU8" s="14">
        <v>0.17738000000000001</v>
      </c>
      <c r="HV8" s="14">
        <v>0.234956</v>
      </c>
      <c r="HW8" s="14">
        <v>0.26624500000000001</v>
      </c>
      <c r="HX8" s="14">
        <v>0.217284</v>
      </c>
      <c r="HY8" s="14">
        <v>0.16972799999999999</v>
      </c>
      <c r="HZ8" s="14">
        <v>0.18801200000000001</v>
      </c>
      <c r="IA8" s="14">
        <v>0.26672600000000002</v>
      </c>
      <c r="IB8" s="14">
        <v>0.23774700000000001</v>
      </c>
      <c r="IC8" s="14">
        <v>0.21518000000000001</v>
      </c>
      <c r="ID8" s="14">
        <v>0.193965</v>
      </c>
      <c r="IE8" s="14">
        <v>0.22309899999999999</v>
      </c>
      <c r="IF8" s="14">
        <v>0.176561</v>
      </c>
      <c r="IG8" s="14">
        <v>0.25327</v>
      </c>
      <c r="IH8" s="14">
        <v>0.37092399999999998</v>
      </c>
      <c r="II8" s="14">
        <v>0.37584299999999998</v>
      </c>
      <c r="IJ8" s="14">
        <v>0.30930299999999999</v>
      </c>
      <c r="IK8" s="14">
        <v>0.34037800000000001</v>
      </c>
      <c r="IL8" s="14">
        <v>0.215285</v>
      </c>
      <c r="IM8" s="14">
        <v>0.22727700000000001</v>
      </c>
      <c r="IN8" s="14">
        <v>0.24230099999999999</v>
      </c>
      <c r="IO8" s="14">
        <v>0.226462</v>
      </c>
      <c r="IP8" s="14">
        <v>0.24431900000000001</v>
      </c>
      <c r="IQ8" s="14">
        <v>0.18759200000000001</v>
      </c>
      <c r="IR8" s="14">
        <v>0.14122000000000001</v>
      </c>
      <c r="IS8" s="14">
        <v>0.25254799999999999</v>
      </c>
      <c r="IT8" s="14">
        <v>0.275057</v>
      </c>
      <c r="IU8" s="14">
        <v>0.30633100000000002</v>
      </c>
      <c r="IV8" s="14">
        <v>0.233151</v>
      </c>
      <c r="IW8" s="14">
        <v>0.17700123000000001</v>
      </c>
      <c r="IX8" s="14">
        <v>0.178894</v>
      </c>
      <c r="IY8" s="14">
        <v>0.22340099999999999</v>
      </c>
      <c r="IZ8" s="14">
        <v>0.24040300000000001</v>
      </c>
      <c r="JA8" s="14">
        <v>0.34554600000000002</v>
      </c>
      <c r="JB8" s="14">
        <v>0.34476000000000001</v>
      </c>
      <c r="JC8" s="14">
        <v>0.31129000000000001</v>
      </c>
      <c r="JD8" s="14">
        <v>0.248749</v>
      </c>
      <c r="JE8" s="14">
        <v>0.39378299999999999</v>
      </c>
      <c r="JF8" s="14">
        <v>0.37114599999999998</v>
      </c>
      <c r="JG8" s="14">
        <v>0.39522400000000002</v>
      </c>
      <c r="JH8" s="14">
        <v>0.31833800000000001</v>
      </c>
      <c r="JI8" s="14">
        <v>0.224301</v>
      </c>
      <c r="JJ8" s="14">
        <v>0.21055199999999999</v>
      </c>
      <c r="JK8" s="14">
        <v>0.26410299999999998</v>
      </c>
      <c r="JL8" s="14">
        <v>0.25794600000000001</v>
      </c>
      <c r="JM8" s="14">
        <v>0.39151399999999997</v>
      </c>
      <c r="JN8" s="14">
        <v>0.35483700000000001</v>
      </c>
      <c r="JO8" s="14">
        <v>0.34842299999999998</v>
      </c>
      <c r="JP8" s="14">
        <v>0.33667599999999998</v>
      </c>
      <c r="JQ8" s="14">
        <v>0.28666799999999998</v>
      </c>
      <c r="JR8" s="14">
        <v>0.26461099999999999</v>
      </c>
      <c r="JS8" s="14">
        <v>0.31430399999999997</v>
      </c>
      <c r="JT8" s="14">
        <v>0.26803300000000002</v>
      </c>
      <c r="JU8" s="14">
        <v>0.207923</v>
      </c>
      <c r="JV8" s="14">
        <v>0.229438</v>
      </c>
      <c r="JW8" s="14">
        <v>0.219948</v>
      </c>
      <c r="JX8" s="14">
        <v>0.224803</v>
      </c>
      <c r="JY8" s="14">
        <v>0.31082900000000002</v>
      </c>
      <c r="JZ8" s="14">
        <v>0.29047499999999998</v>
      </c>
      <c r="KA8" s="14">
        <v>0.311747</v>
      </c>
      <c r="KB8" s="14">
        <v>0.26406499999999999</v>
      </c>
      <c r="KC8" s="14">
        <v>0.26333000000000001</v>
      </c>
      <c r="KD8" s="14">
        <v>0.33540500000000001</v>
      </c>
      <c r="KE8" s="14">
        <v>0.40338099999999999</v>
      </c>
      <c r="KF8" s="14">
        <v>0.320297</v>
      </c>
      <c r="KG8" s="14">
        <v>0.28632200000000002</v>
      </c>
      <c r="KH8" s="14">
        <v>0.223858</v>
      </c>
      <c r="KI8" s="14">
        <v>0.248921</v>
      </c>
      <c r="KJ8" s="14">
        <v>0.34242899999999998</v>
      </c>
      <c r="KK8" s="14">
        <v>0.334393</v>
      </c>
      <c r="KL8" s="14">
        <v>0.27194099999999999</v>
      </c>
      <c r="KM8" s="14">
        <v>0.247838</v>
      </c>
      <c r="KN8" s="14">
        <v>0.326793</v>
      </c>
      <c r="KO8" s="14">
        <v>0.28675800000000001</v>
      </c>
      <c r="KP8" s="14">
        <v>0.26633699999999999</v>
      </c>
      <c r="KQ8" s="14">
        <v>0.26849000000000001</v>
      </c>
      <c r="KR8" s="14">
        <v>0.291045</v>
      </c>
      <c r="KS8" s="14">
        <v>0.208956</v>
      </c>
      <c r="KT8" s="14">
        <v>0.209478</v>
      </c>
      <c r="KU8" s="14">
        <v>0.40802699999999997</v>
      </c>
      <c r="KV8" s="14">
        <v>0.42445100000000002</v>
      </c>
      <c r="KW8" s="14">
        <v>0.404673</v>
      </c>
      <c r="KX8" s="14">
        <v>0.39788299999999999</v>
      </c>
      <c r="KY8" s="14">
        <v>0.409916</v>
      </c>
      <c r="KZ8" s="14">
        <v>0.32623200000000002</v>
      </c>
      <c r="LA8" s="14">
        <v>0.40845399999999998</v>
      </c>
      <c r="LB8" s="14">
        <v>0.43056499999999998</v>
      </c>
      <c r="LC8" s="14">
        <v>0.42720399999999997</v>
      </c>
      <c r="LD8" s="14">
        <v>0.41833999999999999</v>
      </c>
      <c r="LE8" s="14">
        <v>0.341839</v>
      </c>
      <c r="LF8" s="14">
        <v>0.38163599999999998</v>
      </c>
      <c r="LG8" s="14">
        <v>0.44309999999999999</v>
      </c>
      <c r="LH8" s="14">
        <v>0.38621699999999998</v>
      </c>
      <c r="LI8" s="14">
        <v>0.40193000000000001</v>
      </c>
      <c r="LJ8" s="14">
        <v>0.390378</v>
      </c>
      <c r="LK8" s="14">
        <v>0.33334599999999998</v>
      </c>
      <c r="LL8" s="14">
        <v>0.29519400000000001</v>
      </c>
      <c r="LM8" s="14">
        <v>0.31903500000000001</v>
      </c>
      <c r="LN8" s="14">
        <v>0.32033899999999998</v>
      </c>
      <c r="LO8" s="14">
        <v>0.39302199999999998</v>
      </c>
      <c r="LP8" s="14">
        <v>0.34895199999999998</v>
      </c>
      <c r="LQ8" s="14">
        <v>0.29319899999999999</v>
      </c>
      <c r="LR8" s="14">
        <v>0.35074300000000003</v>
      </c>
      <c r="LS8" s="14">
        <v>0.40994000000000003</v>
      </c>
      <c r="LT8" s="14">
        <v>0.31443900000000002</v>
      </c>
      <c r="LU8" s="149"/>
    </row>
    <row r="9" spans="1:333" x14ac:dyDescent="0.3">
      <c r="A9" s="2" t="s">
        <v>2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4">
        <v>0.82845911949685536</v>
      </c>
      <c r="AB9" s="14">
        <v>0.87425044091710769</v>
      </c>
      <c r="AC9" s="14">
        <v>1.0158805031446541</v>
      </c>
      <c r="AD9" s="14">
        <v>1.147142857142857</v>
      </c>
      <c r="AE9" s="14">
        <v>1.1180555555555551</v>
      </c>
      <c r="AF9" s="14">
        <v>1.1799079364516054</v>
      </c>
      <c r="AG9" s="14">
        <v>1.1845573948014885</v>
      </c>
      <c r="AH9" s="14">
        <v>1.096329908107083</v>
      </c>
      <c r="AI9" s="14">
        <v>1.1657583199955848</v>
      </c>
      <c r="AJ9" s="14">
        <v>1.1870773239855095</v>
      </c>
      <c r="AK9" s="14">
        <v>1.2730345521484969</v>
      </c>
      <c r="AL9" s="14">
        <v>1.474873328101542</v>
      </c>
      <c r="AM9" s="14">
        <v>2.1258086240504324</v>
      </c>
      <c r="AN9" s="14">
        <v>2.1915039728628574</v>
      </c>
      <c r="AO9" s="14">
        <v>2.3299275177235765</v>
      </c>
      <c r="AP9" s="14">
        <v>3.1329545830029075</v>
      </c>
      <c r="AQ9" s="14">
        <v>3.1108011748355717</v>
      </c>
      <c r="AR9" s="14">
        <v>2.8498009572606318</v>
      </c>
      <c r="AS9" s="14">
        <v>2.5389080542452707</v>
      </c>
      <c r="AT9" s="14">
        <v>2.5996797437950359</v>
      </c>
      <c r="AU9" s="14">
        <v>2.6569557395024916</v>
      </c>
      <c r="AV9" s="14">
        <v>2.663020497570376</v>
      </c>
      <c r="AW9" s="14">
        <v>2.7803363695288774</v>
      </c>
      <c r="AX9" s="14">
        <v>2.4850222512620967</v>
      </c>
      <c r="AY9" s="14">
        <v>2.1242653288502629</v>
      </c>
      <c r="AZ9" s="14">
        <v>2.2177179028036611</v>
      </c>
      <c r="BA9" s="14">
        <v>2.1888767492241934</v>
      </c>
      <c r="BB9" s="14">
        <v>2.0092849478326844</v>
      </c>
      <c r="BC9" s="14">
        <v>1.965331792082994</v>
      </c>
      <c r="BD9" s="14">
        <v>1.7036303939250599</v>
      </c>
      <c r="BE9" s="14">
        <v>1.513715103076986</v>
      </c>
      <c r="BF9" s="14">
        <v>1.5068331032968914</v>
      </c>
      <c r="BG9" s="14">
        <v>1.5449067057434323</v>
      </c>
      <c r="BH9" s="14">
        <v>1.5485384492041794</v>
      </c>
      <c r="BI9" s="14">
        <v>1.5669802700117688</v>
      </c>
      <c r="BJ9" s="14">
        <v>1.5719763995778138</v>
      </c>
      <c r="BK9" s="14">
        <v>1.4942996654197069</v>
      </c>
      <c r="BL9" s="14">
        <v>1.3536674502530903</v>
      </c>
      <c r="BM9" s="14">
        <v>1.3746975238156793</v>
      </c>
      <c r="BN9" s="14">
        <v>1.3128896704579622</v>
      </c>
      <c r="BO9" s="14">
        <v>1.2443135564923253</v>
      </c>
      <c r="BP9" s="14">
        <v>1.1614690295765502</v>
      </c>
      <c r="BQ9" s="14">
        <v>1.1647585833538765</v>
      </c>
      <c r="BR9" s="14">
        <v>1.3369035291652731</v>
      </c>
      <c r="BS9" s="14">
        <v>1.5125080163707423</v>
      </c>
      <c r="BT9" s="14">
        <v>1.6082333612325246</v>
      </c>
      <c r="BU9" s="14">
        <v>1.8631260794473228</v>
      </c>
      <c r="BV9" s="14">
        <v>1.8119003457672138</v>
      </c>
      <c r="BW9" s="14">
        <v>1.5611289832299129</v>
      </c>
      <c r="BX9" s="14">
        <v>1.4424503811842326</v>
      </c>
      <c r="BY9" s="14">
        <v>1.4042118791425837</v>
      </c>
      <c r="BZ9" s="14">
        <v>1.5464970814319965</v>
      </c>
      <c r="CA9" s="14">
        <v>1.4908261137465386</v>
      </c>
      <c r="CB9" s="14">
        <v>1.5093496713255474</v>
      </c>
      <c r="CC9" s="14">
        <v>1.5296802042630027</v>
      </c>
      <c r="CD9" s="14">
        <v>1.6545630176724873</v>
      </c>
      <c r="CE9" s="14">
        <v>1.7261469778360874</v>
      </c>
      <c r="CF9" s="14">
        <v>1.7244969767980096</v>
      </c>
      <c r="CG9" s="14">
        <v>1.6896084600594299</v>
      </c>
      <c r="CH9" s="14">
        <v>1.5640161201733285</v>
      </c>
      <c r="CI9" s="14">
        <v>0.43617977750915177</v>
      </c>
      <c r="CJ9" s="14">
        <v>1.3554159527888825</v>
      </c>
      <c r="CK9" s="14">
        <v>1.3379429212762546</v>
      </c>
      <c r="CL9" s="14">
        <v>1.4221347887641282</v>
      </c>
      <c r="CM9" s="14">
        <v>1.4225694243623537</v>
      </c>
      <c r="CN9" s="14">
        <v>1.4414225926534772</v>
      </c>
      <c r="CO9" s="14">
        <v>1.4962307057302617</v>
      </c>
      <c r="CP9" s="14">
        <v>1.4401493216789585</v>
      </c>
      <c r="CQ9" s="14">
        <v>1.3671465885274721</v>
      </c>
      <c r="CR9" s="14">
        <v>1.295143644780415</v>
      </c>
      <c r="CS9" s="14">
        <v>1.2131461373998351</v>
      </c>
      <c r="CT9" s="14">
        <v>1.1495524324879236</v>
      </c>
      <c r="CU9" s="14">
        <v>1.0597054635718022</v>
      </c>
      <c r="CV9" s="14">
        <v>1.0479066539029629</v>
      </c>
      <c r="CW9" s="14">
        <v>1.0186303023651431</v>
      </c>
      <c r="CX9" s="14">
        <v>1.0000699922230862</v>
      </c>
      <c r="CY9" s="14">
        <v>1.0045770889424612</v>
      </c>
      <c r="CZ9" s="14">
        <v>1.0694374428175155</v>
      </c>
      <c r="DA9" s="14">
        <v>1.1442889989799412</v>
      </c>
      <c r="DB9" s="14">
        <v>1.1902994106039986</v>
      </c>
      <c r="DC9" s="14">
        <v>1.1225622538220175</v>
      </c>
      <c r="DD9" s="14">
        <v>0.92105263157894735</v>
      </c>
      <c r="DE9" s="14">
        <v>0.83141943119198203</v>
      </c>
      <c r="DF9" s="14">
        <v>0.77721250942638476</v>
      </c>
      <c r="DG9" s="14">
        <v>0.77025542700784688</v>
      </c>
      <c r="DH9" s="14">
        <v>0.71616107283032682</v>
      </c>
      <c r="DI9" s="14">
        <v>0.66295725340073808</v>
      </c>
      <c r="DJ9" s="14">
        <v>0.66275811953492836</v>
      </c>
      <c r="DK9" s="14">
        <v>0.61588038793261057</v>
      </c>
      <c r="DL9" s="14">
        <v>0.60592501444898106</v>
      </c>
      <c r="DM9" s="14">
        <v>0.61226685403422099</v>
      </c>
      <c r="DN9" s="14">
        <v>0.63661687991822269</v>
      </c>
      <c r="DO9" s="14">
        <v>0.63657325543562826</v>
      </c>
      <c r="DP9" s="14">
        <v>0.64538699771708774</v>
      </c>
      <c r="DQ9" s="14">
        <v>0.62629433326480366</v>
      </c>
      <c r="DR9" s="14">
        <v>0.54010775013909806</v>
      </c>
      <c r="DS9" s="14">
        <v>0.50142969038514229</v>
      </c>
      <c r="DT9" s="14">
        <v>0.453113046554115</v>
      </c>
      <c r="DU9" s="14">
        <v>0.43495996004595627</v>
      </c>
      <c r="DV9" s="14">
        <v>0.44116493686439567</v>
      </c>
      <c r="DW9" s="14">
        <v>0.45519140243360862</v>
      </c>
      <c r="DX9" s="14">
        <v>0.42865064425279803</v>
      </c>
      <c r="DY9" s="14">
        <v>0.42437508375824018</v>
      </c>
      <c r="DZ9" s="14">
        <v>0.42286676623703895</v>
      </c>
      <c r="EA9" s="14">
        <v>0.48877165129335537</v>
      </c>
      <c r="EB9" s="14">
        <v>0.51750250947926968</v>
      </c>
      <c r="EC9" s="14">
        <v>0.41557179764612356</v>
      </c>
      <c r="ED9" s="14">
        <v>0.43617977750915177</v>
      </c>
      <c r="EE9" s="14">
        <v>0.44979730087036585</v>
      </c>
      <c r="EF9" s="14">
        <v>0.4317482764816799</v>
      </c>
      <c r="EG9" s="14">
        <v>0.45400248845595964</v>
      </c>
      <c r="EH9" s="14">
        <v>0.53054027619500543</v>
      </c>
      <c r="EI9" s="14">
        <v>0.60522960075569476</v>
      </c>
      <c r="EJ9" s="14">
        <v>0.61767230927524264</v>
      </c>
      <c r="EK9" s="14">
        <v>0.69693458942563591</v>
      </c>
      <c r="EL9" s="14">
        <v>0.75384542591308368</v>
      </c>
      <c r="EM9" s="14">
        <v>0.70375288125625857</v>
      </c>
      <c r="EN9" s="14">
        <v>0.65732563079917228</v>
      </c>
      <c r="EO9" s="14">
        <v>0.71371421401965085</v>
      </c>
      <c r="EP9" s="14">
        <v>0.65736771251964599</v>
      </c>
      <c r="EQ9" s="14">
        <v>0.65188500615583733</v>
      </c>
      <c r="ER9" s="14">
        <v>0.65595063842781132</v>
      </c>
      <c r="ES9" s="14">
        <v>0.65399398430409084</v>
      </c>
      <c r="ET9" s="14">
        <v>0.68912693547824433</v>
      </c>
      <c r="EU9" s="14">
        <v>0.72072980017376209</v>
      </c>
      <c r="EV9" s="14">
        <v>0.73289281852132371</v>
      </c>
      <c r="EW9" s="14">
        <v>0.7532880415523403</v>
      </c>
      <c r="EX9" s="14">
        <v>0.79480823550587532</v>
      </c>
      <c r="EY9" s="14">
        <v>0.84334374743538587</v>
      </c>
      <c r="EZ9" s="14">
        <v>0.82282745586029948</v>
      </c>
      <c r="FA9" s="14">
        <v>0.79393452772510942</v>
      </c>
      <c r="FB9" s="14">
        <v>0.80108279143175842</v>
      </c>
      <c r="FC9" s="14">
        <v>0.75123376394804464</v>
      </c>
      <c r="FD9" s="14">
        <v>0.69980408322473697</v>
      </c>
      <c r="FE9" s="14">
        <v>0.70999676605917705</v>
      </c>
      <c r="FF9" s="14">
        <v>0.73939904876129214</v>
      </c>
      <c r="FG9" s="14">
        <v>0.75654400402447486</v>
      </c>
      <c r="FH9" s="14">
        <v>0.87576903307477294</v>
      </c>
      <c r="FI9" s="14">
        <v>0.90090103274150946</v>
      </c>
      <c r="FJ9" s="14">
        <v>0.96214947755538172</v>
      </c>
      <c r="FK9" s="14">
        <v>1.1882308942756601</v>
      </c>
      <c r="FL9" s="14">
        <v>1.2100970726815146</v>
      </c>
      <c r="FM9" s="14">
        <v>1.280085440744555</v>
      </c>
      <c r="FN9" s="14">
        <v>1.3143290230323976</v>
      </c>
      <c r="FO9" s="14">
        <v>1.2511781640478525</v>
      </c>
      <c r="FP9" s="14">
        <v>1.2563317490479855</v>
      </c>
      <c r="FQ9" s="14">
        <v>1.1751537960568237</v>
      </c>
      <c r="FR9" s="14">
        <v>1.2710634148479272</v>
      </c>
      <c r="FS9" s="14">
        <v>1.315791876939487</v>
      </c>
      <c r="FT9" s="14">
        <v>1.3710834109627528</v>
      </c>
      <c r="FU9" s="14">
        <v>1.4282862895588755</v>
      </c>
      <c r="FV9" s="14">
        <v>1.6201944152861736</v>
      </c>
      <c r="FW9" s="14">
        <v>1.5675277225818858</v>
      </c>
      <c r="FX9" s="14">
        <v>1.5620808954233212</v>
      </c>
      <c r="FY9" s="14">
        <v>1.4821752445514822</v>
      </c>
      <c r="FZ9" s="14">
        <v>1.2961121978856001</v>
      </c>
      <c r="GA9" s="14">
        <v>1.2962017658291267</v>
      </c>
      <c r="GB9" s="14">
        <v>1.3667490856055515</v>
      </c>
      <c r="GC9" s="14">
        <v>1.4685352911000666</v>
      </c>
      <c r="GD9" s="14">
        <v>1.430965068468202</v>
      </c>
      <c r="GE9" s="14">
        <v>1.5262223073077865</v>
      </c>
      <c r="GF9" s="14">
        <v>1.4882184266217413</v>
      </c>
      <c r="GG9" s="14">
        <v>1.4955831709518506</v>
      </c>
      <c r="GH9" s="14">
        <v>1.5117723027418704</v>
      </c>
      <c r="GI9" s="14">
        <v>1.5211059574452053</v>
      </c>
      <c r="GJ9" s="14">
        <v>1.5743044416576744</v>
      </c>
      <c r="GK9" s="14">
        <v>1.6170892934547032</v>
      </c>
      <c r="GL9" s="14">
        <v>1.655764624499739</v>
      </c>
      <c r="GM9" s="14">
        <v>1.7567183284733794</v>
      </c>
      <c r="GN9" s="14">
        <v>1.7270439407000537</v>
      </c>
      <c r="GO9" s="14">
        <v>1.7036882504431585</v>
      </c>
      <c r="GP9" s="14">
        <v>1.7045622411768342</v>
      </c>
      <c r="GQ9" s="14">
        <v>1.7600096045538658</v>
      </c>
      <c r="GR9" s="14">
        <v>1.8032250962318224</v>
      </c>
      <c r="GS9" s="14">
        <v>1.8347534926682829</v>
      </c>
      <c r="GT9" s="14">
        <v>1.9384045451594596</v>
      </c>
      <c r="GU9" s="14">
        <v>2.1664136060658152</v>
      </c>
      <c r="GV9" s="14">
        <v>2.2309949162402094</v>
      </c>
      <c r="GW9" s="14">
        <v>2.1234261715678224</v>
      </c>
      <c r="GX9" s="14">
        <v>2.1337111255739694</v>
      </c>
      <c r="GY9" s="14">
        <v>2.1542389565645381</v>
      </c>
      <c r="GZ9" s="14">
        <v>2.1376338081472186</v>
      </c>
      <c r="HA9" s="14">
        <v>2.0979349701975449</v>
      </c>
      <c r="HB9" s="14">
        <v>1.9494995284875218</v>
      </c>
      <c r="HC9" s="14">
        <v>1.7245171626887419</v>
      </c>
      <c r="HD9" s="14">
        <v>1.6300048275569883</v>
      </c>
      <c r="HE9" s="14">
        <v>1.5415905353324646</v>
      </c>
      <c r="HF9" s="14">
        <v>1.6183588243531297</v>
      </c>
      <c r="HG9" s="14">
        <v>1.5549466895835848</v>
      </c>
      <c r="HH9" s="14">
        <v>1.5460768825697737</v>
      </c>
      <c r="HI9" s="14">
        <v>1.5308373372012207</v>
      </c>
      <c r="HJ9" s="14">
        <v>1.5228756111579131</v>
      </c>
      <c r="HK9" s="14">
        <v>1.466254523484515</v>
      </c>
      <c r="HL9" s="14">
        <v>1.5097493036211702</v>
      </c>
      <c r="HM9" s="14">
        <v>1.5327611045222156</v>
      </c>
      <c r="HN9" s="14">
        <v>1.5614161193769858</v>
      </c>
      <c r="HO9" s="14">
        <v>1.5660581024020819</v>
      </c>
      <c r="HP9" s="14">
        <v>1.5742291989730393</v>
      </c>
      <c r="HQ9" s="14">
        <v>1.5985406246610723</v>
      </c>
      <c r="HR9" s="14">
        <v>1.6642521487948214</v>
      </c>
      <c r="HS9" s="14">
        <v>1.6675160346909448</v>
      </c>
      <c r="HT9" s="14">
        <v>1.6975672606568832</v>
      </c>
      <c r="HU9" s="14">
        <v>1.7131769835005823</v>
      </c>
      <c r="HV9" s="14">
        <v>1.6336392062059848</v>
      </c>
      <c r="HW9" s="14">
        <v>1.7236004432008112</v>
      </c>
      <c r="HX9" s="14">
        <v>1.8147524284653571</v>
      </c>
      <c r="HY9" s="14">
        <v>1.8615078242835599</v>
      </c>
      <c r="HZ9" s="14">
        <v>2.0654709983050727</v>
      </c>
      <c r="IA9" s="14">
        <v>2.0084906108390883</v>
      </c>
      <c r="IB9" s="14">
        <v>2.0113818470895533</v>
      </c>
      <c r="IC9" s="14">
        <v>2.3221643895033615</v>
      </c>
      <c r="ID9" s="14">
        <v>2.3914967476950308</v>
      </c>
      <c r="IE9" s="14">
        <v>2.5476561974728709</v>
      </c>
      <c r="IF9" s="14">
        <v>2.5367059165576391</v>
      </c>
      <c r="IG9" s="14">
        <v>2.6337055974519945</v>
      </c>
      <c r="IH9" s="14">
        <v>2.60375701401545</v>
      </c>
      <c r="II9" s="14">
        <v>2.4225231014013828</v>
      </c>
      <c r="IJ9" s="14">
        <v>2.390503378025215</v>
      </c>
      <c r="IK9" s="14">
        <v>2.3907378463551305</v>
      </c>
      <c r="IL9" s="14">
        <v>2.3577273536629737</v>
      </c>
      <c r="IM9" s="14">
        <v>2.5417444344712989</v>
      </c>
      <c r="IN9" s="14">
        <v>2.5428894914452127</v>
      </c>
      <c r="IO9" s="14">
        <v>2.4806964671041203</v>
      </c>
      <c r="IP9" s="14">
        <v>2.4669315532834819</v>
      </c>
      <c r="IQ9" s="14">
        <v>2.6816175529873338</v>
      </c>
      <c r="IR9" s="14">
        <v>2.5804397405938735</v>
      </c>
      <c r="IS9" s="14">
        <v>2.3607105711917469</v>
      </c>
      <c r="IT9" s="14">
        <v>2.2188643929561271</v>
      </c>
      <c r="IU9" s="14">
        <v>2.2050296351550012</v>
      </c>
      <c r="IV9" s="14">
        <v>2.2551698963332778</v>
      </c>
      <c r="IW9" s="14">
        <v>2.2120603370948326</v>
      </c>
      <c r="IX9" s="14">
        <v>2.2060383057378492</v>
      </c>
      <c r="IY9" s="14">
        <v>2.1498488525118513</v>
      </c>
      <c r="IZ9" s="14">
        <v>2.0889968795453187</v>
      </c>
      <c r="JA9" s="14">
        <v>2.0558062211688166</v>
      </c>
      <c r="JB9" s="14">
        <v>2.0444164544417371</v>
      </c>
      <c r="JC9" s="14">
        <v>2.0367635211539072</v>
      </c>
      <c r="JD9" s="14">
        <v>2.0436864737814693</v>
      </c>
      <c r="JE9" s="14">
        <v>2.0428954127865686</v>
      </c>
      <c r="JF9" s="14">
        <v>1.9206256661798862</v>
      </c>
      <c r="JG9" s="14">
        <v>1.9007921672266868</v>
      </c>
      <c r="JH9" s="14">
        <v>1.8814652973673676</v>
      </c>
      <c r="JI9" s="14">
        <v>1.8570600807248594</v>
      </c>
      <c r="JJ9" s="14">
        <v>1.7998023441556796</v>
      </c>
      <c r="JK9" s="14">
        <v>1.6855524176804761</v>
      </c>
      <c r="JL9" s="14">
        <v>1.6452333686120351</v>
      </c>
      <c r="JM9" s="14">
        <v>1.6551878089502126</v>
      </c>
      <c r="JN9" s="14">
        <v>1.6690000009393977</v>
      </c>
      <c r="JO9" s="14">
        <v>1.8594220712562983</v>
      </c>
      <c r="JP9" s="14">
        <v>2.0332020493491276</v>
      </c>
      <c r="JQ9" s="14">
        <v>2.0877923236403557</v>
      </c>
      <c r="JR9" s="14">
        <v>2.0673797889480539</v>
      </c>
      <c r="JS9" s="14">
        <v>2.0077309982267697</v>
      </c>
      <c r="JT9" s="14">
        <v>2.0189681251935392</v>
      </c>
      <c r="JU9" s="14">
        <v>2.1402661890860251</v>
      </c>
      <c r="JV9" s="14">
        <v>2.0340155554005874</v>
      </c>
      <c r="JW9" s="14">
        <v>2.2349087534326295</v>
      </c>
      <c r="JX9" s="14">
        <v>2.2077243935060178</v>
      </c>
      <c r="JY9" s="14">
        <v>2.1286977727303427</v>
      </c>
      <c r="JZ9" s="14">
        <v>2.1174143494850393</v>
      </c>
      <c r="KA9" s="14">
        <v>2.1885431134862561</v>
      </c>
      <c r="KB9" s="14">
        <v>2.0705516223909521</v>
      </c>
      <c r="KC9" s="14">
        <v>1.9354876011088749</v>
      </c>
      <c r="KD9" s="14">
        <v>1.7522381886574938</v>
      </c>
      <c r="KE9" s="14">
        <v>1.7794648227523526</v>
      </c>
      <c r="KF9" s="14">
        <v>1.6930461935849122</v>
      </c>
      <c r="KG9" s="14">
        <v>1.7067475883795167</v>
      </c>
      <c r="KH9" s="14">
        <v>1.7074310515296898</v>
      </c>
      <c r="KI9" s="14">
        <v>1.674040493436338</v>
      </c>
      <c r="KJ9" s="14">
        <v>1.6346335551798081</v>
      </c>
      <c r="KK9" s="14">
        <v>1.5999962119422357</v>
      </c>
      <c r="KL9" s="14">
        <v>1.5396239754211392</v>
      </c>
      <c r="KM9" s="14">
        <v>1.554655246572358</v>
      </c>
      <c r="KN9" s="14">
        <v>1.5871824676987167</v>
      </c>
      <c r="KO9" s="14">
        <v>1.603836568930364</v>
      </c>
      <c r="KP9" s="14">
        <v>1.6602668073405751</v>
      </c>
      <c r="KQ9" s="14">
        <v>1.6795834742448508</v>
      </c>
      <c r="KR9" s="14">
        <v>1.7227814221168549</v>
      </c>
      <c r="KS9" s="14">
        <v>1.8237236555383272</v>
      </c>
      <c r="KT9" s="14">
        <v>1.9279732636999269</v>
      </c>
      <c r="KU9" s="14">
        <v>2.0589625527232269</v>
      </c>
      <c r="KV9" s="14">
        <v>2.0189327688394338</v>
      </c>
      <c r="KW9" s="14">
        <v>2.0173469286724508</v>
      </c>
      <c r="KX9" s="14">
        <v>2.0316426009656099</v>
      </c>
      <c r="KY9" s="14">
        <v>2.0509654819524004</v>
      </c>
      <c r="KZ9" s="14">
        <v>2.0109711805300119</v>
      </c>
      <c r="LA9" s="14">
        <v>1.9411259293172143</v>
      </c>
      <c r="LB9" s="14">
        <v>1.9196161624841783</v>
      </c>
      <c r="LC9" s="14">
        <v>1.9310050093163926</v>
      </c>
      <c r="LD9" s="14">
        <v>1.874840241589776</v>
      </c>
      <c r="LE9" s="14">
        <v>1.8812055772844336</v>
      </c>
      <c r="LF9" s="14">
        <v>1.910252876213635</v>
      </c>
      <c r="LG9" s="14">
        <v>1.8576325885804565</v>
      </c>
      <c r="LH9" s="14">
        <v>1.8435024869438683</v>
      </c>
      <c r="LI9" s="14">
        <v>1.8105075095995156</v>
      </c>
      <c r="LJ9" s="14">
        <v>1.7772037187887977</v>
      </c>
      <c r="LK9" s="14">
        <v>1.7867898019875248</v>
      </c>
      <c r="LL9" s="14">
        <v>1.8481760017705866</v>
      </c>
      <c r="LM9" s="14">
        <v>1.7829977379702333</v>
      </c>
      <c r="LN9" s="14">
        <v>1.7479505565458255</v>
      </c>
      <c r="LO9" s="14">
        <v>1.7253718621349445</v>
      </c>
      <c r="LP9" s="14">
        <v>1.7042398859059895</v>
      </c>
      <c r="LQ9" s="14">
        <v>1.643396521361487</v>
      </c>
      <c r="LR9" s="14">
        <v>1.6735916316695318</v>
      </c>
      <c r="LS9" s="14">
        <v>1.705894683774861</v>
      </c>
      <c r="LT9" s="14">
        <v>1.7181174515035769</v>
      </c>
      <c r="LU9" s="149"/>
    </row>
    <row r="10" spans="1:333" x14ac:dyDescent="0.3"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149"/>
    </row>
    <row r="11" spans="1:333" x14ac:dyDescent="0.3">
      <c r="A11" s="1" t="s">
        <v>3</v>
      </c>
      <c r="B11" s="1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9">
        <v>7.1198879999999996</v>
      </c>
      <c r="AB11" s="9">
        <v>5.8881904999999994</v>
      </c>
      <c r="AC11" s="9">
        <v>8.8353330000000003</v>
      </c>
      <c r="AD11" s="9">
        <v>8.0537737000000007</v>
      </c>
      <c r="AE11" s="9">
        <v>8.9342570000000006</v>
      </c>
      <c r="AF11" s="9">
        <v>7.684666</v>
      </c>
      <c r="AG11" s="9">
        <v>5.6442150000000009</v>
      </c>
      <c r="AH11" s="9">
        <v>6.9417352499999998</v>
      </c>
      <c r="AI11" s="9">
        <v>7.1577150000000005</v>
      </c>
      <c r="AJ11" s="9">
        <v>6.4720599999999999</v>
      </c>
      <c r="AK11" s="9">
        <v>5.8360448000000007</v>
      </c>
      <c r="AL11" s="9">
        <v>6.1392386500000002</v>
      </c>
      <c r="AM11" s="9">
        <v>5.5220645000000008</v>
      </c>
      <c r="AN11" s="9">
        <v>8.1750810000000005</v>
      </c>
      <c r="AO11" s="9">
        <v>10.449636</v>
      </c>
      <c r="AP11" s="9">
        <v>16.212173050000001</v>
      </c>
      <c r="AQ11" s="9">
        <v>13.4769258</v>
      </c>
      <c r="AR11" s="9">
        <v>12.6201194</v>
      </c>
      <c r="AS11" s="9">
        <v>13.680850333333334</v>
      </c>
      <c r="AT11" s="9">
        <v>10.104227333333332</v>
      </c>
      <c r="AU11" s="9">
        <v>13.426114333333334</v>
      </c>
      <c r="AV11" s="9">
        <v>9.0833753333333327</v>
      </c>
      <c r="AW11" s="9">
        <v>10.685880333333332</v>
      </c>
      <c r="AX11" s="9">
        <v>9.300538333333332</v>
      </c>
      <c r="AY11" s="9">
        <v>10.08898007781894</v>
      </c>
      <c r="AZ11" s="9">
        <v>11.884646197727182</v>
      </c>
      <c r="BA11" s="9">
        <v>12.102887054430992</v>
      </c>
      <c r="BB11" s="9">
        <v>8.4127718644655864</v>
      </c>
      <c r="BC11" s="9">
        <v>11.606096289110157</v>
      </c>
      <c r="BD11" s="9">
        <v>14.823112057769261</v>
      </c>
      <c r="BE11" s="9">
        <v>12.022629900166665</v>
      </c>
      <c r="BF11" s="9">
        <v>16.521717985166667</v>
      </c>
      <c r="BG11" s="9">
        <v>20.058565866166667</v>
      </c>
      <c r="BH11" s="9">
        <v>27.097986416666672</v>
      </c>
      <c r="BI11" s="9">
        <v>18.996809012166665</v>
      </c>
      <c r="BJ11" s="9">
        <v>16.825514514666668</v>
      </c>
      <c r="BK11" s="9">
        <v>27.144616704485607</v>
      </c>
      <c r="BL11" s="9">
        <v>20.001236664393851</v>
      </c>
      <c r="BM11" s="9">
        <v>15.85244172109766</v>
      </c>
      <c r="BN11" s="9">
        <v>26.837946531132257</v>
      </c>
      <c r="BO11" s="9">
        <v>21.117920999999999</v>
      </c>
      <c r="BP11" s="9">
        <v>20.033088999999997</v>
      </c>
      <c r="BQ11" s="9">
        <v>25.029637000000001</v>
      </c>
      <c r="BR11" s="9">
        <v>29.892646000000003</v>
      </c>
      <c r="BS11" s="9">
        <v>35.937441999999997</v>
      </c>
      <c r="BT11" s="9">
        <v>35.192149999999991</v>
      </c>
      <c r="BU11" s="9">
        <v>30.078240999999998</v>
      </c>
      <c r="BV11" s="9">
        <v>29.701104000000001</v>
      </c>
      <c r="BW11" s="9">
        <v>13.975981999999998</v>
      </c>
      <c r="BX11" s="9">
        <v>19.655985000000001</v>
      </c>
      <c r="BY11" s="9">
        <v>14.821119000000003</v>
      </c>
      <c r="BZ11" s="9">
        <v>13.058841169999997</v>
      </c>
      <c r="CA11" s="9">
        <v>16.491050000000001</v>
      </c>
      <c r="CB11" s="9">
        <v>17.366050000000001</v>
      </c>
      <c r="CC11" s="9">
        <v>12.438802000000001</v>
      </c>
      <c r="CD11" s="9">
        <v>18.850888999999999</v>
      </c>
      <c r="CE11" s="9">
        <v>20.395099999999999</v>
      </c>
      <c r="CF11" s="9">
        <v>13.544108</v>
      </c>
      <c r="CG11" s="9">
        <v>11.206867000000001</v>
      </c>
      <c r="CH11" s="9">
        <v>17.747333999999999</v>
      </c>
      <c r="CI11" s="9">
        <v>30.416599999999999</v>
      </c>
      <c r="CJ11" s="9">
        <v>15.756873000000001</v>
      </c>
      <c r="CK11" s="9">
        <v>14.830034999999999</v>
      </c>
      <c r="CL11" s="9">
        <v>21.282655999999999</v>
      </c>
      <c r="CM11" s="9">
        <v>27.158752999999997</v>
      </c>
      <c r="CN11" s="9">
        <v>24.866</v>
      </c>
      <c r="CO11" s="9">
        <v>20.658000000000001</v>
      </c>
      <c r="CP11" s="9">
        <v>21.247</v>
      </c>
      <c r="CQ11" s="9">
        <v>27.906999999999993</v>
      </c>
      <c r="CR11" s="9">
        <v>15.27</v>
      </c>
      <c r="CS11" s="9">
        <v>19.613</v>
      </c>
      <c r="CT11" s="9">
        <v>16.658999999999995</v>
      </c>
      <c r="CU11" s="9">
        <v>14.390395999999999</v>
      </c>
      <c r="CV11" s="9">
        <v>12.835710000000001</v>
      </c>
      <c r="CW11" s="9">
        <v>15.847338000000001</v>
      </c>
      <c r="CX11" s="9">
        <v>11.718332999999999</v>
      </c>
      <c r="CY11" s="9">
        <v>11.020408</v>
      </c>
      <c r="CZ11" s="9">
        <v>15.966000000000001</v>
      </c>
      <c r="DA11" s="9">
        <v>22.201129000000002</v>
      </c>
      <c r="DB11" s="9">
        <v>24.401798999999997</v>
      </c>
      <c r="DC11" s="9">
        <v>32.914240000000007</v>
      </c>
      <c r="DD11" s="9">
        <v>33.218426000000001</v>
      </c>
      <c r="DE11" s="9">
        <v>24.792370999999999</v>
      </c>
      <c r="DF11" s="9">
        <v>26.340042000000004</v>
      </c>
      <c r="DG11" s="9">
        <v>21.613613999999998</v>
      </c>
      <c r="DH11" s="9">
        <v>18.366</v>
      </c>
      <c r="DI11" s="9">
        <v>21.824000000000005</v>
      </c>
      <c r="DJ11" s="9">
        <v>23.370999999999999</v>
      </c>
      <c r="DK11" s="9">
        <v>33.829000000000001</v>
      </c>
      <c r="DL11" s="9">
        <v>22.545000000000002</v>
      </c>
      <c r="DM11" s="9">
        <v>29.393000000000004</v>
      </c>
      <c r="DN11" s="9">
        <v>29.157000000000004</v>
      </c>
      <c r="DO11" s="9">
        <v>30.197712999999997</v>
      </c>
      <c r="DP11" s="9">
        <v>32.595999999999997</v>
      </c>
      <c r="DQ11" s="9">
        <v>32.724000000000004</v>
      </c>
      <c r="DR11" s="9">
        <v>26.427</v>
      </c>
      <c r="DS11" s="9">
        <v>25.137599999999999</v>
      </c>
      <c r="DT11" s="9">
        <v>30.524281000000002</v>
      </c>
      <c r="DU11" s="9">
        <v>24.603200000000001</v>
      </c>
      <c r="DV11" s="9">
        <v>27.851399999999998</v>
      </c>
      <c r="DW11" s="9">
        <v>28.057199999999998</v>
      </c>
      <c r="DX11" s="9">
        <v>29.130000000000003</v>
      </c>
      <c r="DY11" s="9">
        <v>32.071916000000002</v>
      </c>
      <c r="DZ11" s="9">
        <v>28.87567</v>
      </c>
      <c r="EA11" s="9">
        <v>38.314381690000005</v>
      </c>
      <c r="EB11" s="9">
        <v>31.958200000000001</v>
      </c>
      <c r="EC11" s="9">
        <v>31.167400000000001</v>
      </c>
      <c r="ED11" s="9">
        <v>30.416599999999999</v>
      </c>
      <c r="EE11" s="9">
        <v>26.838000000000001</v>
      </c>
      <c r="EF11" s="9">
        <v>27.049999999999997</v>
      </c>
      <c r="EG11" s="9">
        <v>26.646999999999998</v>
      </c>
      <c r="EH11" s="9">
        <v>31.823</v>
      </c>
      <c r="EI11" s="9">
        <v>27.242000000000001</v>
      </c>
      <c r="EJ11" s="9">
        <v>22.783139000000006</v>
      </c>
      <c r="EK11" s="9">
        <v>36.900783619999999</v>
      </c>
      <c r="EL11" s="9">
        <v>34.944441259999998</v>
      </c>
      <c r="EM11" s="9">
        <v>34.8937332</v>
      </c>
      <c r="EN11" s="9">
        <v>35.195643019999999</v>
      </c>
      <c r="EO11" s="9">
        <v>31.830183999999999</v>
      </c>
      <c r="EP11" s="9">
        <v>31.834635960000004</v>
      </c>
      <c r="EQ11" s="9">
        <v>32.300011859999998</v>
      </c>
      <c r="ER11" s="9">
        <v>36.264003750000001</v>
      </c>
      <c r="ES11" s="9">
        <v>46.457192800000001</v>
      </c>
      <c r="ET11" s="9">
        <v>42.406262299999995</v>
      </c>
      <c r="EU11" s="9">
        <v>32.376392799999998</v>
      </c>
      <c r="EV11" s="9">
        <v>33.785553759999999</v>
      </c>
      <c r="EW11" s="9">
        <v>51.208999999999996</v>
      </c>
      <c r="EX11" s="9">
        <v>43.613999999999997</v>
      </c>
      <c r="EY11" s="9">
        <v>53.122000000000007</v>
      </c>
      <c r="EZ11" s="9">
        <v>50.416000000000011</v>
      </c>
      <c r="FA11" s="9">
        <v>39.405000000000001</v>
      </c>
      <c r="FB11" s="9">
        <v>35.236000000000004</v>
      </c>
      <c r="FC11" s="9">
        <v>43.399000000000001</v>
      </c>
      <c r="FD11" s="9">
        <v>48.343000000000004</v>
      </c>
      <c r="FE11" s="9">
        <v>40.996000000000002</v>
      </c>
      <c r="FF11" s="9">
        <v>39.813000000000002</v>
      </c>
      <c r="FG11" s="9">
        <v>44.555999999999997</v>
      </c>
      <c r="FH11" s="9">
        <v>51.402000000000001</v>
      </c>
      <c r="FI11" s="9">
        <v>44.448946884470146</v>
      </c>
      <c r="FJ11" s="9">
        <v>48.576040327811796</v>
      </c>
      <c r="FK11" s="9">
        <v>52.970718437345084</v>
      </c>
      <c r="FL11" s="9">
        <v>55.817653586105472</v>
      </c>
      <c r="FM11" s="9">
        <v>56.679162757224205</v>
      </c>
      <c r="FN11" s="9">
        <v>52.559632851041172</v>
      </c>
      <c r="FO11" s="9">
        <v>49.647684781756851</v>
      </c>
      <c r="FP11" s="9">
        <v>52.319341730097058</v>
      </c>
      <c r="FQ11" s="9">
        <v>48.868960864227262</v>
      </c>
      <c r="FR11" s="9">
        <v>58.48627073381148</v>
      </c>
      <c r="FS11" s="9">
        <v>55.406097645915196</v>
      </c>
      <c r="FT11" s="9">
        <v>56.987881943112669</v>
      </c>
      <c r="FU11" s="9">
        <v>57.820999999999998</v>
      </c>
      <c r="FV11" s="9">
        <v>50.812000000000005</v>
      </c>
      <c r="FW11" s="9">
        <v>54.14</v>
      </c>
      <c r="FX11" s="9">
        <v>52.342999999999996</v>
      </c>
      <c r="FY11" s="9">
        <v>56.340999999999994</v>
      </c>
      <c r="FZ11" s="9">
        <v>67.191000000000003</v>
      </c>
      <c r="GA11" s="9">
        <v>62.710999999999999</v>
      </c>
      <c r="GB11" s="9">
        <v>67.313999999999993</v>
      </c>
      <c r="GC11" s="9">
        <v>66.974999999999994</v>
      </c>
      <c r="GD11" s="9">
        <v>73.076999999999998</v>
      </c>
      <c r="GE11" s="9">
        <v>68.925000000000011</v>
      </c>
      <c r="GF11" s="9">
        <v>76.225999999999999</v>
      </c>
      <c r="GG11" s="9">
        <v>82.616</v>
      </c>
      <c r="GH11" s="9">
        <v>89.978000000000009</v>
      </c>
      <c r="GI11" s="9">
        <v>102.773</v>
      </c>
      <c r="GJ11" s="9">
        <v>85.698999999999998</v>
      </c>
      <c r="GK11" s="9">
        <v>104.089</v>
      </c>
      <c r="GL11" s="9">
        <v>88.216000000000008</v>
      </c>
      <c r="GM11" s="9">
        <v>78.093763526676213</v>
      </c>
      <c r="GN11" s="9">
        <v>85.155000000000001</v>
      </c>
      <c r="GO11" s="9">
        <v>81.787000000000006</v>
      </c>
      <c r="GP11" s="9">
        <v>88.089999999999989</v>
      </c>
      <c r="GQ11" s="9">
        <v>94.811000000000007</v>
      </c>
      <c r="GR11" s="9">
        <v>86.144000000000005</v>
      </c>
      <c r="GS11" s="9">
        <v>89.893000000000001</v>
      </c>
      <c r="GT11" s="9">
        <v>91.550000000000011</v>
      </c>
      <c r="GU11" s="9">
        <v>104.71749344964212</v>
      </c>
      <c r="GV11" s="9">
        <v>103.33824782719837</v>
      </c>
      <c r="GW11" s="9">
        <v>120.92726779780165</v>
      </c>
      <c r="GX11" s="9">
        <v>109.77263726993866</v>
      </c>
      <c r="GY11" s="9">
        <v>128.64623680342535</v>
      </c>
      <c r="GZ11" s="9">
        <v>107.80686733128833</v>
      </c>
      <c r="HA11" s="9">
        <v>98.086785499744366</v>
      </c>
      <c r="HB11" s="9">
        <v>110.89120360429449</v>
      </c>
      <c r="HC11" s="9">
        <v>103.89836519043968</v>
      </c>
      <c r="HD11" s="9">
        <v>85.896068603016374</v>
      </c>
      <c r="HE11" s="9">
        <v>90.390999999999991</v>
      </c>
      <c r="HF11" s="9">
        <v>105.002</v>
      </c>
      <c r="HG11" s="9">
        <v>109.25800000000001</v>
      </c>
      <c r="HH11" s="9">
        <v>102.875</v>
      </c>
      <c r="HI11" s="9">
        <v>92.070999999999998</v>
      </c>
      <c r="HJ11" s="9">
        <v>94.207999999999998</v>
      </c>
      <c r="HK11" s="9">
        <v>102.86899999999999</v>
      </c>
      <c r="HL11" s="9">
        <v>106.41500000000001</v>
      </c>
      <c r="HM11" s="9">
        <v>101.374</v>
      </c>
      <c r="HN11" s="9">
        <v>115.733</v>
      </c>
      <c r="HO11" s="9">
        <v>106.351</v>
      </c>
      <c r="HP11" s="9">
        <v>116.26300000000003</v>
      </c>
      <c r="HQ11" s="9">
        <v>107.52609325499714</v>
      </c>
      <c r="HR11" s="9">
        <v>108.56085595299828</v>
      </c>
      <c r="HS11" s="9">
        <v>129.93261143869032</v>
      </c>
      <c r="HT11" s="9">
        <v>121.21402519328677</v>
      </c>
      <c r="HU11" s="9">
        <v>120.73724989864223</v>
      </c>
      <c r="HV11" s="9">
        <v>113.05794453493303</v>
      </c>
      <c r="HW11" s="9">
        <v>95.628655839611497</v>
      </c>
      <c r="HX11" s="9">
        <v>121.14160351510932</v>
      </c>
      <c r="HY11" s="9">
        <v>98.549145469545493</v>
      </c>
      <c r="HZ11" s="9">
        <v>109.15310514036864</v>
      </c>
      <c r="IA11" s="9">
        <v>107.80199999999999</v>
      </c>
      <c r="IB11" s="9">
        <v>117.69699999999999</v>
      </c>
      <c r="IC11" s="9">
        <v>132.84041670000011</v>
      </c>
      <c r="ID11" s="9">
        <v>146.4217124000001</v>
      </c>
      <c r="IE11" s="9">
        <v>157.40947051000001</v>
      </c>
      <c r="IF11" s="9">
        <v>138.21792847739752</v>
      </c>
      <c r="IG11" s="9">
        <v>147.30083228999999</v>
      </c>
      <c r="IH11" s="9">
        <v>136.20647305</v>
      </c>
      <c r="II11" s="9">
        <v>136.73279800000023</v>
      </c>
      <c r="IJ11" s="9">
        <v>140.35187983000006</v>
      </c>
      <c r="IK11" s="9">
        <v>125.48198161999987</v>
      </c>
      <c r="IL11" s="9">
        <v>137.03087817000025</v>
      </c>
      <c r="IM11" s="9">
        <v>143.28179100000034</v>
      </c>
      <c r="IN11" s="9">
        <v>155.35249798000009</v>
      </c>
      <c r="IO11" s="9">
        <v>151.99397211999997</v>
      </c>
      <c r="IP11" s="9">
        <v>161.35891237000001</v>
      </c>
      <c r="IQ11" s="9">
        <v>174.32856761999997</v>
      </c>
      <c r="IR11" s="9">
        <v>162.60536634813448</v>
      </c>
      <c r="IS11" s="9">
        <v>174.01165536999991</v>
      </c>
      <c r="IT11" s="9">
        <v>177.35643492000028</v>
      </c>
      <c r="IU11" s="9">
        <v>174.75274097000019</v>
      </c>
      <c r="IV11" s="9">
        <v>170.56759217000024</v>
      </c>
      <c r="IW11" s="9">
        <v>165.49743460000025</v>
      </c>
      <c r="IX11" s="9">
        <v>158.48902759000006</v>
      </c>
      <c r="IY11" s="9">
        <v>168.68704776000052</v>
      </c>
      <c r="IZ11" s="9">
        <v>144.60257622999984</v>
      </c>
      <c r="JA11" s="9">
        <v>169.6792114700001</v>
      </c>
      <c r="JB11" s="9">
        <v>185.14773202000035</v>
      </c>
      <c r="JC11" s="9">
        <v>168.99023479999988</v>
      </c>
      <c r="JD11" s="9">
        <v>186.13209139000006</v>
      </c>
      <c r="JE11" s="9">
        <v>179.57353497999969</v>
      </c>
      <c r="JF11" s="9">
        <v>148.7489256500003</v>
      </c>
      <c r="JG11" s="9">
        <v>152.35193944000025</v>
      </c>
      <c r="JH11" s="9">
        <v>154.73862833999956</v>
      </c>
      <c r="JI11" s="9">
        <v>158.64742840999995</v>
      </c>
      <c r="JJ11" s="9">
        <v>164.96868638000021</v>
      </c>
      <c r="JK11" s="9">
        <v>155.29013889000009</v>
      </c>
      <c r="JL11" s="9">
        <v>157.77846466999998</v>
      </c>
      <c r="JM11" s="9">
        <v>164.45543552580426</v>
      </c>
      <c r="JN11" s="9">
        <v>166.74645204732599</v>
      </c>
      <c r="JO11" s="9">
        <v>168.29056488662746</v>
      </c>
      <c r="JP11" s="9">
        <v>152.70581703939067</v>
      </c>
      <c r="JQ11" s="9">
        <v>165.46144304213146</v>
      </c>
      <c r="JR11" s="9">
        <v>145.21334337596934</v>
      </c>
      <c r="JS11" s="9">
        <v>148.48968944010699</v>
      </c>
      <c r="JT11" s="9">
        <v>145.65848144874562</v>
      </c>
      <c r="JU11" s="9">
        <v>155.4168197031899</v>
      </c>
      <c r="JV11" s="9">
        <v>169.80322896659581</v>
      </c>
      <c r="JW11" s="9">
        <v>163.68096254450944</v>
      </c>
      <c r="JX11" s="9">
        <v>156.86334188967709</v>
      </c>
      <c r="JY11" s="9">
        <v>149.01320015894743</v>
      </c>
      <c r="JZ11" s="9">
        <v>155.22740710974216</v>
      </c>
      <c r="KA11" s="9">
        <v>176.44133634172587</v>
      </c>
      <c r="KB11" s="9">
        <v>155.76601438525054</v>
      </c>
      <c r="KC11" s="9">
        <v>157.39557005535414</v>
      </c>
      <c r="KD11" s="9">
        <v>165.53857926047368</v>
      </c>
      <c r="KE11" s="9">
        <v>146.77071686250019</v>
      </c>
      <c r="KF11" s="9">
        <v>147.03472683211595</v>
      </c>
      <c r="KG11" s="9">
        <v>149.93910384995263</v>
      </c>
      <c r="KH11" s="9">
        <v>133.49963246235842</v>
      </c>
      <c r="KI11" s="9">
        <v>159.58958772424006</v>
      </c>
      <c r="KJ11" s="9">
        <v>169.21103495996243</v>
      </c>
      <c r="KK11" s="9">
        <v>168.67761881247168</v>
      </c>
      <c r="KL11" s="9">
        <v>164.36285419293031</v>
      </c>
      <c r="KM11" s="9">
        <v>182.63634640483957</v>
      </c>
      <c r="KN11" s="9">
        <v>178.77101826902887</v>
      </c>
      <c r="KO11" s="9">
        <v>169.80590787802458</v>
      </c>
      <c r="KP11" s="9">
        <v>175.79781449877404</v>
      </c>
      <c r="KQ11" s="9">
        <v>163.83763482045291</v>
      </c>
      <c r="KR11" s="9">
        <v>165.49051866720919</v>
      </c>
      <c r="KS11" s="9">
        <v>174.62902182207785</v>
      </c>
      <c r="KT11" s="9">
        <v>186.23195684570356</v>
      </c>
      <c r="KU11" s="9">
        <v>204.32065124145873</v>
      </c>
      <c r="KV11" s="9">
        <v>195.80016309102533</v>
      </c>
      <c r="KW11" s="9">
        <v>164.3955639927172</v>
      </c>
      <c r="KX11" s="9">
        <v>158.17379706526765</v>
      </c>
      <c r="KY11" s="9">
        <v>173.45703998755812</v>
      </c>
      <c r="KZ11" s="9">
        <v>170.40182732416733</v>
      </c>
      <c r="LA11" s="9">
        <v>260.74500062736149</v>
      </c>
      <c r="LB11" s="9">
        <v>282.41369518660042</v>
      </c>
      <c r="LC11" s="9">
        <v>178.95365022685226</v>
      </c>
      <c r="LD11" s="9">
        <v>170.5752169394332</v>
      </c>
      <c r="LE11" s="9">
        <v>176.53277092663797</v>
      </c>
      <c r="LF11" s="9">
        <v>193.57064673312289</v>
      </c>
      <c r="LG11" s="9">
        <v>201.43215739994372</v>
      </c>
      <c r="LH11" s="9">
        <v>214.78005383092417</v>
      </c>
      <c r="LI11" s="9">
        <v>254.02007586106947</v>
      </c>
      <c r="LJ11" s="9">
        <v>213.0557727124455</v>
      </c>
      <c r="LK11" s="9">
        <v>220.23480792045177</v>
      </c>
      <c r="LL11" s="9">
        <v>179.90586172516339</v>
      </c>
      <c r="LM11" s="9">
        <v>238.0749850103584</v>
      </c>
      <c r="LN11" s="9">
        <v>214.0109872377555</v>
      </c>
      <c r="LO11" s="9">
        <v>200.80203137999996</v>
      </c>
      <c r="LP11" s="9">
        <v>216.77977300999999</v>
      </c>
      <c r="LQ11" s="9">
        <v>226.02097204000012</v>
      </c>
      <c r="LR11" s="9">
        <v>256.20826883000012</v>
      </c>
      <c r="LS11" s="9">
        <v>213.37566760137145</v>
      </c>
      <c r="LT11" s="9">
        <v>219.03258305999981</v>
      </c>
      <c r="LU11" s="149"/>
    </row>
    <row r="12" spans="1:333" x14ac:dyDescent="0.3">
      <c r="A12" s="2" t="s">
        <v>4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4">
        <v>0.05</v>
      </c>
      <c r="AB12" s="14">
        <v>0.06</v>
      </c>
      <c r="AC12" s="14">
        <v>0.05</v>
      </c>
      <c r="AD12" s="14">
        <v>0.06</v>
      </c>
      <c r="AE12" s="14">
        <v>0.05</v>
      </c>
      <c r="AF12" s="14">
        <v>0.05</v>
      </c>
      <c r="AG12" s="14">
        <v>0.06</v>
      </c>
      <c r="AH12" s="14">
        <v>0.06</v>
      </c>
      <c r="AI12" s="14">
        <v>0.06</v>
      </c>
      <c r="AJ12" s="14">
        <v>0.17699999999999999</v>
      </c>
      <c r="AK12" s="14">
        <v>0.121</v>
      </c>
      <c r="AL12" s="14">
        <v>0.189</v>
      </c>
      <c r="AM12" s="14">
        <v>0.93300000000000005</v>
      </c>
      <c r="AN12" s="14">
        <v>0.18</v>
      </c>
      <c r="AO12" s="14">
        <v>0.17899999999999999</v>
      </c>
      <c r="AP12" s="14">
        <v>0.20400000000000001</v>
      </c>
      <c r="AQ12" s="14">
        <v>0.19900000000000001</v>
      </c>
      <c r="AR12" s="14">
        <v>0.183</v>
      </c>
      <c r="AS12" s="14">
        <v>0.218</v>
      </c>
      <c r="AT12" s="14">
        <v>0.18</v>
      </c>
      <c r="AU12" s="14">
        <v>0.183</v>
      </c>
      <c r="AV12" s="14">
        <v>0.20100000000000001</v>
      </c>
      <c r="AW12" s="14">
        <v>0.19500000000000001</v>
      </c>
      <c r="AX12" s="14">
        <v>0.19800000000000001</v>
      </c>
      <c r="AY12" s="14">
        <v>0.223</v>
      </c>
      <c r="AZ12" s="14">
        <v>0.21</v>
      </c>
      <c r="BA12" s="14">
        <v>0.20100000000000001</v>
      </c>
      <c r="BB12" s="14">
        <v>0.21099999999999999</v>
      </c>
      <c r="BC12" s="14">
        <v>0.19700000000000001</v>
      </c>
      <c r="BD12" s="14">
        <v>0.19700000000000001</v>
      </c>
      <c r="BE12" s="14">
        <v>0.28200000000000003</v>
      </c>
      <c r="BF12" s="14">
        <v>0.19700000000000001</v>
      </c>
      <c r="BG12" s="14">
        <v>0.19700000000000001</v>
      </c>
      <c r="BH12" s="14">
        <v>0.20200000000000001</v>
      </c>
      <c r="BI12" s="14">
        <v>0.19900000000000001</v>
      </c>
      <c r="BJ12" s="14">
        <v>0.19800000000000001</v>
      </c>
      <c r="BK12" s="14">
        <v>0.215</v>
      </c>
      <c r="BL12" s="14">
        <v>0.192</v>
      </c>
      <c r="BM12" s="14">
        <v>0.19800000000000001</v>
      </c>
      <c r="BN12" s="14">
        <v>0.17799999999999999</v>
      </c>
      <c r="BO12" s="14">
        <v>0.77800000000000002</v>
      </c>
      <c r="BP12" s="14">
        <v>0.86299999999999999</v>
      </c>
      <c r="BQ12" s="14">
        <v>0.96799999999999997</v>
      </c>
      <c r="BR12" s="14">
        <v>0.83</v>
      </c>
      <c r="BS12" s="14">
        <v>0.90400000000000003</v>
      </c>
      <c r="BT12" s="14">
        <v>0.92400000000000004</v>
      </c>
      <c r="BU12" s="14">
        <v>1.0049999999999999</v>
      </c>
      <c r="BV12" s="14">
        <v>1.0649999999999999</v>
      </c>
      <c r="BW12" s="14">
        <v>1.089</v>
      </c>
      <c r="BX12" s="14">
        <v>1.0210000000000001</v>
      </c>
      <c r="BY12" s="14">
        <v>0.91800000000000004</v>
      </c>
      <c r="BZ12" s="14">
        <v>0.98638882000000006</v>
      </c>
      <c r="CA12" s="14">
        <v>0.93720000000000003</v>
      </c>
      <c r="CB12" s="14">
        <v>1.0508</v>
      </c>
      <c r="CC12" s="14">
        <v>1.016</v>
      </c>
      <c r="CD12" s="14">
        <v>0.91100000000000003</v>
      </c>
      <c r="CE12" s="14">
        <v>1.079</v>
      </c>
      <c r="CF12" s="14">
        <v>1.01</v>
      </c>
      <c r="CG12" s="14">
        <v>0.95300000000000007</v>
      </c>
      <c r="CH12" s="14">
        <v>0.98499999999999999</v>
      </c>
      <c r="CI12" s="14">
        <v>1.0449999999999999</v>
      </c>
      <c r="CJ12" s="14">
        <v>1.0155000000000001</v>
      </c>
      <c r="CK12" s="14">
        <v>0.93113500000000005</v>
      </c>
      <c r="CL12" s="14">
        <v>1.0010000000000001</v>
      </c>
      <c r="CM12" s="14">
        <v>0.88100000000000001</v>
      </c>
      <c r="CN12" s="14">
        <v>0.96799999999999997</v>
      </c>
      <c r="CO12" s="14">
        <v>0.96899999999999997</v>
      </c>
      <c r="CP12" s="14">
        <v>0.98199999999999998</v>
      </c>
      <c r="CQ12" s="14">
        <v>1.145</v>
      </c>
      <c r="CR12" s="14">
        <v>1.1020000000000001</v>
      </c>
      <c r="CS12" s="14">
        <v>1.2030000000000001</v>
      </c>
      <c r="CT12" s="14">
        <v>1.083</v>
      </c>
      <c r="CU12" s="14">
        <v>1.2</v>
      </c>
      <c r="CV12" s="14">
        <v>1.0900000000000001</v>
      </c>
      <c r="CW12" s="14">
        <v>1.1499999999999999</v>
      </c>
      <c r="CX12" s="14">
        <v>1.22</v>
      </c>
      <c r="CY12" s="14">
        <v>0.96</v>
      </c>
      <c r="CZ12" s="14">
        <v>1.1100000000000001</v>
      </c>
      <c r="DA12" s="14">
        <v>1.036</v>
      </c>
      <c r="DB12" s="14">
        <v>0.96399999999999997</v>
      </c>
      <c r="DC12" s="14">
        <v>0.97499999999999998</v>
      </c>
      <c r="DD12" s="14">
        <v>0.92900000000000005</v>
      </c>
      <c r="DE12" s="14">
        <v>1.103</v>
      </c>
      <c r="DF12" s="14">
        <v>2.024</v>
      </c>
      <c r="DG12" s="14">
        <v>2.0270000000000001</v>
      </c>
      <c r="DH12" s="14">
        <v>2.637</v>
      </c>
      <c r="DI12" s="14">
        <v>1.8440000000000001</v>
      </c>
      <c r="DJ12" s="14">
        <v>1.8169999999999999</v>
      </c>
      <c r="DK12" s="14">
        <v>1.708</v>
      </c>
      <c r="DL12" s="14">
        <v>1.393</v>
      </c>
      <c r="DM12" s="14">
        <v>1.014</v>
      </c>
      <c r="DN12" s="14">
        <v>1.0009999999999999</v>
      </c>
      <c r="DO12" s="14">
        <v>0.85471299999999995</v>
      </c>
      <c r="DP12" s="14">
        <v>0.70499999999999996</v>
      </c>
      <c r="DQ12" s="14">
        <v>0.86499999999999999</v>
      </c>
      <c r="DR12" s="14">
        <v>0.80200000000000005</v>
      </c>
      <c r="DS12" s="14">
        <v>1.1779999999999999</v>
      </c>
      <c r="DT12" s="14">
        <v>0.97299999999999998</v>
      </c>
      <c r="DU12" s="14">
        <v>1.1240000000000001</v>
      </c>
      <c r="DV12" s="14">
        <v>0.98099999999999998</v>
      </c>
      <c r="DW12" s="14">
        <v>0.80800000000000005</v>
      </c>
      <c r="DX12" s="14">
        <v>0.69699999999999995</v>
      </c>
      <c r="DY12" s="14">
        <v>1.3129999999999999</v>
      </c>
      <c r="DZ12" s="14">
        <v>1.74</v>
      </c>
      <c r="EA12" s="14">
        <v>1.5549999999999999</v>
      </c>
      <c r="EB12" s="14">
        <v>1.4490000000000001</v>
      </c>
      <c r="EC12" s="14">
        <v>1.077</v>
      </c>
      <c r="ED12" s="14">
        <v>1.0449999999999999</v>
      </c>
      <c r="EE12" s="14">
        <v>1.2450000000000001</v>
      </c>
      <c r="EF12" s="14">
        <v>1.3220000000000001</v>
      </c>
      <c r="EG12" s="14">
        <v>1.4419999999999999</v>
      </c>
      <c r="EH12" s="14">
        <v>1.7050000000000001</v>
      </c>
      <c r="EI12" s="14">
        <v>1.2989999999999999</v>
      </c>
      <c r="EJ12" s="14">
        <v>1.24</v>
      </c>
      <c r="EK12" s="14">
        <v>1.4790000000000001</v>
      </c>
      <c r="EL12" s="14">
        <v>1.1719999999999999</v>
      </c>
      <c r="EM12" s="14">
        <v>1.2310000000000001</v>
      </c>
      <c r="EN12" s="14">
        <v>1.2809999999999999</v>
      </c>
      <c r="EO12" s="14">
        <v>1.0509999999999999</v>
      </c>
      <c r="EP12" s="14">
        <v>1.006</v>
      </c>
      <c r="EQ12" s="14">
        <v>1.2929999999999999</v>
      </c>
      <c r="ER12" s="14">
        <v>1.052</v>
      </c>
      <c r="ES12" s="14">
        <v>0.98899999999999999</v>
      </c>
      <c r="ET12" s="14">
        <v>1.226</v>
      </c>
      <c r="EU12" s="14">
        <v>0.97699999999999998</v>
      </c>
      <c r="EV12" s="14">
        <v>1.004</v>
      </c>
      <c r="EW12" s="14">
        <v>1.194</v>
      </c>
      <c r="EX12" s="14">
        <v>0.89500000000000002</v>
      </c>
      <c r="EY12" s="14">
        <v>0.96</v>
      </c>
      <c r="EZ12" s="14">
        <v>1.129</v>
      </c>
      <c r="FA12" s="14">
        <v>0.97699999999999998</v>
      </c>
      <c r="FB12" s="14">
        <v>0.94299999999999995</v>
      </c>
      <c r="FC12" s="14">
        <v>1.2949999999999999</v>
      </c>
      <c r="FD12" s="14">
        <v>0.99199999999999999</v>
      </c>
      <c r="FE12" s="14">
        <v>0.87</v>
      </c>
      <c r="FF12" s="14">
        <v>1.1850000000000001</v>
      </c>
      <c r="FG12" s="14">
        <v>0.751</v>
      </c>
      <c r="FH12" s="14">
        <v>0.88100000000000001</v>
      </c>
      <c r="FI12" s="14">
        <v>1.0606937160613961</v>
      </c>
      <c r="FJ12" s="14">
        <v>0.22185914700771472</v>
      </c>
      <c r="FK12" s="14">
        <v>0.28472173163168002</v>
      </c>
      <c r="FL12" s="14">
        <v>0.27280724419643015</v>
      </c>
      <c r="FM12" s="14">
        <v>0.29922852618345508</v>
      </c>
      <c r="FN12" s="14">
        <v>0.31552306915169753</v>
      </c>
      <c r="FO12" s="14">
        <v>0.32070336862589877</v>
      </c>
      <c r="FP12" s="14">
        <v>0.30149061042273095</v>
      </c>
      <c r="FQ12" s="14">
        <v>0.3476818298056345</v>
      </c>
      <c r="FR12" s="14">
        <v>0.31929790784345957</v>
      </c>
      <c r="FS12" s="14">
        <v>0.32190905607362574</v>
      </c>
      <c r="FT12" s="14">
        <v>0.32962959790757329</v>
      </c>
      <c r="FU12" s="14">
        <v>0.38</v>
      </c>
      <c r="FV12" s="14">
        <v>0.34200000000000003</v>
      </c>
      <c r="FW12" s="14">
        <v>0.38400000000000001</v>
      </c>
      <c r="FX12" s="14">
        <v>0.54700000000000004</v>
      </c>
      <c r="FY12" s="14">
        <v>0.376</v>
      </c>
      <c r="FZ12" s="14">
        <v>0.53800000000000003</v>
      </c>
      <c r="GA12" s="14">
        <v>0.35499999999999998</v>
      </c>
      <c r="GB12" s="14">
        <v>0.46300000000000002</v>
      </c>
      <c r="GC12" s="14">
        <v>0.43</v>
      </c>
      <c r="GD12" s="14">
        <v>0.46800000000000003</v>
      </c>
      <c r="GE12" s="14">
        <v>0.45500000000000002</v>
      </c>
      <c r="GF12" s="14">
        <v>0.53800000000000003</v>
      </c>
      <c r="GG12" s="14">
        <v>0.46300000000000002</v>
      </c>
      <c r="GH12" s="14">
        <v>0.45400000000000001</v>
      </c>
      <c r="GI12" s="14">
        <v>0.76</v>
      </c>
      <c r="GJ12" s="14">
        <v>0.625</v>
      </c>
      <c r="GK12" s="14">
        <v>0.61799999999999999</v>
      </c>
      <c r="GL12" s="14">
        <v>0.68300000000000005</v>
      </c>
      <c r="GM12" s="14">
        <v>1.054</v>
      </c>
      <c r="GN12" s="14">
        <v>0.71699999999999997</v>
      </c>
      <c r="GO12" s="14">
        <v>0.79600000000000004</v>
      </c>
      <c r="GP12" s="14">
        <v>1.0740000000000001</v>
      </c>
      <c r="GQ12" s="14">
        <v>1.085</v>
      </c>
      <c r="GR12" s="14">
        <v>1.0289999999999999</v>
      </c>
      <c r="GS12" s="14">
        <v>1.234</v>
      </c>
      <c r="GT12" s="14">
        <v>0.72699999999999998</v>
      </c>
      <c r="GU12" s="14">
        <v>0.84299999999999997</v>
      </c>
      <c r="GV12" s="14">
        <v>0.81599999999999995</v>
      </c>
      <c r="GW12" s="14">
        <v>0.85499999999999998</v>
      </c>
      <c r="GX12" s="14">
        <v>0.96</v>
      </c>
      <c r="GY12" s="14">
        <v>1.194</v>
      </c>
      <c r="GZ12" s="14">
        <v>1.1779999999999999</v>
      </c>
      <c r="HA12" s="14">
        <v>1.032</v>
      </c>
      <c r="HB12" s="14">
        <v>1.1879999999999999</v>
      </c>
      <c r="HC12" s="14">
        <v>0.85299999999999998</v>
      </c>
      <c r="HD12" s="14">
        <v>0.78200000000000003</v>
      </c>
      <c r="HE12" s="14">
        <v>0.70099999999999996</v>
      </c>
      <c r="HF12" s="14">
        <v>0.59499999999999997</v>
      </c>
      <c r="HG12" s="14">
        <v>0.73099999999999998</v>
      </c>
      <c r="HH12" s="14">
        <v>0.873</v>
      </c>
      <c r="HI12" s="14">
        <v>0.90800000000000003</v>
      </c>
      <c r="HJ12" s="14">
        <v>1.073</v>
      </c>
      <c r="HK12" s="14">
        <v>1.4119999999999999</v>
      </c>
      <c r="HL12" s="14">
        <v>1.603</v>
      </c>
      <c r="HM12" s="14">
        <v>1.264</v>
      </c>
      <c r="HN12" s="14">
        <v>1.343</v>
      </c>
      <c r="HO12" s="14">
        <v>1.288</v>
      </c>
      <c r="HP12" s="14">
        <v>1.339</v>
      </c>
      <c r="HQ12" s="14">
        <v>1.0349999999999999</v>
      </c>
      <c r="HR12" s="14">
        <v>0.98</v>
      </c>
      <c r="HS12" s="14">
        <v>1.0529999999999999</v>
      </c>
      <c r="HT12" s="14">
        <v>1.0409999999999999</v>
      </c>
      <c r="HU12" s="14">
        <v>0.94799999999999995</v>
      </c>
      <c r="HV12" s="14">
        <v>1.0780000000000001</v>
      </c>
      <c r="HW12" s="14">
        <v>1.1200000000000001</v>
      </c>
      <c r="HX12" s="14">
        <v>1.167</v>
      </c>
      <c r="HY12" s="14">
        <v>1.0469999999999999</v>
      </c>
      <c r="HZ12" s="14">
        <v>1.0109999999999999</v>
      </c>
      <c r="IA12" s="14">
        <v>1.0469999999999999</v>
      </c>
      <c r="IB12" s="14">
        <v>0.998</v>
      </c>
      <c r="IC12" s="14">
        <v>1.091</v>
      </c>
      <c r="ID12" s="14">
        <v>1.1439999999999999</v>
      </c>
      <c r="IE12" s="14">
        <v>1.33068739</v>
      </c>
      <c r="IF12" s="14">
        <v>1.2456277873974937</v>
      </c>
      <c r="IG12" s="14">
        <v>1.1988970000000001</v>
      </c>
      <c r="IH12" s="14">
        <v>1.527828</v>
      </c>
      <c r="II12" s="14">
        <v>1.5429788</v>
      </c>
      <c r="IJ12" s="14">
        <v>1.66068149</v>
      </c>
      <c r="IK12" s="14">
        <v>1.4816575000000001</v>
      </c>
      <c r="IL12" s="14">
        <v>1.38582961</v>
      </c>
      <c r="IM12" s="14">
        <v>1.361504</v>
      </c>
      <c r="IN12" s="14">
        <v>1.34645707</v>
      </c>
      <c r="IO12" s="14">
        <v>0.96185849999999995</v>
      </c>
      <c r="IP12" s="14">
        <v>1.4512832199999999</v>
      </c>
      <c r="IQ12" s="14">
        <v>1.3914315100000003</v>
      </c>
      <c r="IR12" s="14">
        <v>1.7402947000000002</v>
      </c>
      <c r="IS12" s="14">
        <v>1.5481611300000002</v>
      </c>
      <c r="IT12" s="14">
        <v>1.40455581</v>
      </c>
      <c r="IU12" s="14">
        <v>1.32762034</v>
      </c>
      <c r="IV12" s="14">
        <v>1.1702087800000001</v>
      </c>
      <c r="IW12" s="14">
        <v>1.1799729699999999</v>
      </c>
      <c r="IX12" s="14">
        <v>1.1226181399999999</v>
      </c>
      <c r="IY12" s="14">
        <v>1.1921007299999999</v>
      </c>
      <c r="IZ12" s="14">
        <v>1.125</v>
      </c>
      <c r="JA12" s="14">
        <v>1.41279847</v>
      </c>
      <c r="JB12" s="14">
        <v>1.29172117</v>
      </c>
      <c r="JC12" s="14">
        <v>1.4584984699999999</v>
      </c>
      <c r="JD12" s="14">
        <v>1.33921278</v>
      </c>
      <c r="JE12" s="14">
        <v>1.5120756000000002</v>
      </c>
      <c r="JF12" s="14">
        <v>1.4387161499999999</v>
      </c>
      <c r="JG12" s="14">
        <v>1.5413232999999997</v>
      </c>
      <c r="JH12" s="14">
        <v>1.6981049500000001</v>
      </c>
      <c r="JI12" s="14">
        <v>1.42871857</v>
      </c>
      <c r="JJ12" s="14">
        <v>1.4220024500000001</v>
      </c>
      <c r="JK12" s="14">
        <v>1.3431016900000001</v>
      </c>
      <c r="JL12" s="14">
        <v>1.3945036</v>
      </c>
      <c r="JM12" s="14">
        <v>1.40330497</v>
      </c>
      <c r="JN12" s="14">
        <v>1.2012383600000001</v>
      </c>
      <c r="JO12" s="14">
        <v>3.1072586699999998</v>
      </c>
      <c r="JP12" s="14">
        <v>3.7325854900000004</v>
      </c>
      <c r="JQ12" s="14">
        <v>6.0217430900000002</v>
      </c>
      <c r="JR12" s="14">
        <v>2.8937359899999997</v>
      </c>
      <c r="JS12" s="14">
        <v>2.9051586199999999</v>
      </c>
      <c r="JT12" s="14">
        <v>2.6821140600000004</v>
      </c>
      <c r="JU12" s="14">
        <v>3.8075496699999998</v>
      </c>
      <c r="JV12" s="14">
        <v>2.8585957899999999</v>
      </c>
      <c r="JW12" s="14">
        <v>1.9223357400000001</v>
      </c>
      <c r="JX12" s="14">
        <v>1.6686219899999999</v>
      </c>
      <c r="JY12" s="14">
        <v>1.5838855700000001</v>
      </c>
      <c r="JZ12" s="14">
        <v>1.375532</v>
      </c>
      <c r="KA12" s="14">
        <v>1.51258052</v>
      </c>
      <c r="KB12" s="14">
        <v>1.2392038700000001</v>
      </c>
      <c r="KC12" s="14">
        <v>1.35918447</v>
      </c>
      <c r="KD12" s="14">
        <v>1.5112716899999998</v>
      </c>
      <c r="KE12" s="14">
        <v>1.47998232</v>
      </c>
      <c r="KF12" s="14">
        <v>1.4355906699999998</v>
      </c>
      <c r="KG12" s="14">
        <v>1.3402073900000002</v>
      </c>
      <c r="KH12" s="14">
        <v>1.2091748000000002</v>
      </c>
      <c r="KI12" s="14">
        <v>1.402591051935727</v>
      </c>
      <c r="KJ12" s="14">
        <v>1.5813198700000002</v>
      </c>
      <c r="KK12" s="14">
        <v>1.54936611</v>
      </c>
      <c r="KL12" s="14">
        <v>1.3277968759999996</v>
      </c>
      <c r="KM12" s="14">
        <v>1.4762596200000002</v>
      </c>
      <c r="KN12" s="14">
        <v>1.2589833599999998</v>
      </c>
      <c r="KO12" s="14">
        <v>1.42529097</v>
      </c>
      <c r="KP12" s="14">
        <v>1.6107551100000002</v>
      </c>
      <c r="KQ12" s="14">
        <v>1.6996329999999999</v>
      </c>
      <c r="KR12" s="14">
        <v>1.8328638400000001</v>
      </c>
      <c r="KS12" s="14">
        <v>1.8318410589999998</v>
      </c>
      <c r="KT12" s="14">
        <v>1.76149508</v>
      </c>
      <c r="KU12" s="14">
        <v>2.4508723699999999</v>
      </c>
      <c r="KV12" s="14">
        <v>3.0992073400000004</v>
      </c>
      <c r="KW12" s="14">
        <v>5.3622662199999986</v>
      </c>
      <c r="KX12" s="14">
        <v>7.8064369600000001</v>
      </c>
      <c r="KY12" s="14">
        <v>5.4903838500000006</v>
      </c>
      <c r="KZ12" s="14">
        <v>4.2231720099999999</v>
      </c>
      <c r="LA12" s="14">
        <v>4.3377879099999994</v>
      </c>
      <c r="LB12" s="14">
        <v>5.2475766200000002</v>
      </c>
      <c r="LC12" s="14">
        <v>5.7155693300000001</v>
      </c>
      <c r="LD12" s="14">
        <v>3.4707387700000001</v>
      </c>
      <c r="LE12" s="14">
        <v>3.6587527999362255</v>
      </c>
      <c r="LF12" s="14">
        <v>3.6789389125999996</v>
      </c>
      <c r="LG12" s="14">
        <v>3.4973411100000003</v>
      </c>
      <c r="LH12" s="14">
        <v>3.6115776075333335</v>
      </c>
      <c r="LI12" s="14">
        <v>4.92866626</v>
      </c>
      <c r="LJ12" s="14">
        <v>4.8543478200000001</v>
      </c>
      <c r="LK12" s="14">
        <v>2.9837503700000001</v>
      </c>
      <c r="LL12" s="14">
        <v>2.2036794262499999</v>
      </c>
      <c r="LM12" s="14">
        <v>2.3275192231055528</v>
      </c>
      <c r="LN12" s="14">
        <v>2.4924572500000002</v>
      </c>
      <c r="LO12" s="14">
        <v>2.5399941799999999</v>
      </c>
      <c r="LP12" s="14">
        <v>3.57748343</v>
      </c>
      <c r="LQ12" s="14">
        <v>2.50664088</v>
      </c>
      <c r="LR12" s="14">
        <v>2.60245748</v>
      </c>
      <c r="LS12" s="14">
        <v>2.62612435</v>
      </c>
      <c r="LT12" s="14">
        <v>2.75784143</v>
      </c>
      <c r="LU12" s="149"/>
    </row>
    <row r="13" spans="1:333" x14ac:dyDescent="0.3">
      <c r="A13" s="2" t="s">
        <v>5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4">
        <v>0</v>
      </c>
      <c r="AB13" s="14">
        <v>0</v>
      </c>
      <c r="AC13" s="14">
        <v>0</v>
      </c>
      <c r="AD13" s="14">
        <v>0</v>
      </c>
      <c r="AE13" s="14">
        <v>0.96</v>
      </c>
      <c r="AF13" s="14">
        <v>0</v>
      </c>
      <c r="AG13" s="14">
        <v>0</v>
      </c>
      <c r="AH13" s="14">
        <v>0</v>
      </c>
      <c r="AI13" s="14">
        <v>0</v>
      </c>
      <c r="AJ13" s="14">
        <v>0</v>
      </c>
      <c r="AK13" s="14">
        <v>0</v>
      </c>
      <c r="AL13" s="14">
        <v>0</v>
      </c>
      <c r="AM13" s="14">
        <v>0</v>
      </c>
      <c r="AN13" s="14">
        <v>0</v>
      </c>
      <c r="AO13" s="14">
        <v>0</v>
      </c>
      <c r="AP13" s="14">
        <v>0</v>
      </c>
      <c r="AQ13" s="14">
        <v>0</v>
      </c>
      <c r="AR13" s="14">
        <v>0</v>
      </c>
      <c r="AS13" s="14">
        <v>2.3769</v>
      </c>
      <c r="AT13" s="14">
        <v>1.0734999999999999</v>
      </c>
      <c r="AU13" s="14">
        <v>1.9997499999999999</v>
      </c>
      <c r="AV13" s="14">
        <v>2.3474499999999998</v>
      </c>
      <c r="AW13" s="14">
        <v>2.6162999999999998</v>
      </c>
      <c r="AX13" s="14">
        <v>2.0301499999999999</v>
      </c>
      <c r="AY13" s="14">
        <v>1.659</v>
      </c>
      <c r="AZ13" s="14">
        <v>2.4689999999999999</v>
      </c>
      <c r="BA13" s="14">
        <v>1.7849999999999999</v>
      </c>
      <c r="BB13" s="14">
        <v>2.0861999999999998</v>
      </c>
      <c r="BC13" s="14">
        <v>2.073</v>
      </c>
      <c r="BD13" s="14">
        <v>2.8730000000000002</v>
      </c>
      <c r="BE13" s="14">
        <v>3.3380000000000001</v>
      </c>
      <c r="BF13" s="14">
        <v>2.2650000000000001</v>
      </c>
      <c r="BG13" s="14">
        <v>3.7040000000000002</v>
      </c>
      <c r="BH13" s="14">
        <v>4.1390000000000002</v>
      </c>
      <c r="BI13" s="14">
        <v>5.093</v>
      </c>
      <c r="BJ13" s="14">
        <v>3.6659999999999999</v>
      </c>
      <c r="BK13" s="14">
        <v>13.840999999999999</v>
      </c>
      <c r="BL13" s="14">
        <v>9.4760000000000009</v>
      </c>
      <c r="BM13" s="14">
        <v>5.0090000000000003</v>
      </c>
      <c r="BN13" s="14">
        <v>9.7550000000000008</v>
      </c>
      <c r="BO13" s="14">
        <v>2.8380000000000001</v>
      </c>
      <c r="BP13" s="14">
        <v>0.96899999999999997</v>
      </c>
      <c r="BQ13" s="14">
        <v>5.74</v>
      </c>
      <c r="BR13" s="14">
        <v>10.531000000000001</v>
      </c>
      <c r="BS13" s="14">
        <v>14.238</v>
      </c>
      <c r="BT13" s="14">
        <v>14.904999999999999</v>
      </c>
      <c r="BU13" s="14">
        <v>9.3849999999999998</v>
      </c>
      <c r="BV13" s="14">
        <v>13.85</v>
      </c>
      <c r="BW13" s="14">
        <v>1.6020000000000001</v>
      </c>
      <c r="BX13" s="14">
        <v>6.351</v>
      </c>
      <c r="BY13" s="14">
        <v>2.4260000000000002</v>
      </c>
      <c r="BZ13" s="14">
        <v>0.18989997</v>
      </c>
      <c r="CA13" s="14">
        <v>0.315</v>
      </c>
      <c r="CB13" s="14">
        <v>1.0548999999999999</v>
      </c>
      <c r="CC13" s="14">
        <v>1.1639999999999999</v>
      </c>
      <c r="CD13" s="14">
        <v>3.0390000000000001</v>
      </c>
      <c r="CE13" s="14">
        <v>4.8150000000000004</v>
      </c>
      <c r="CF13" s="14">
        <v>1.155</v>
      </c>
      <c r="CG13" s="14">
        <v>0.80300000000000005</v>
      </c>
      <c r="CH13" s="14">
        <v>2.5379999999999998</v>
      </c>
      <c r="CI13" s="14">
        <v>6.3179999999999996</v>
      </c>
      <c r="CJ13" s="14">
        <v>1.208</v>
      </c>
      <c r="CK13" s="14">
        <v>0.623</v>
      </c>
      <c r="CL13" s="14">
        <v>1.6859999999999999</v>
      </c>
      <c r="CM13" s="14">
        <v>0.70100000000000007</v>
      </c>
      <c r="CN13" s="14">
        <v>0.503</v>
      </c>
      <c r="CO13" s="14">
        <v>4.008</v>
      </c>
      <c r="CP13" s="14">
        <v>2.5219999999999998</v>
      </c>
      <c r="CQ13" s="14">
        <v>4.5090000000000003</v>
      </c>
      <c r="CR13" s="14">
        <v>3.141</v>
      </c>
      <c r="CS13" s="14">
        <v>5.1440000000000001</v>
      </c>
      <c r="CT13" s="14">
        <v>3.5329999999999999</v>
      </c>
      <c r="CU13" s="14">
        <v>3.8679999999999999</v>
      </c>
      <c r="CV13" s="14">
        <v>4.1029999999999998</v>
      </c>
      <c r="CW13" s="14">
        <v>4.3529999999999998</v>
      </c>
      <c r="CX13" s="14">
        <v>2.7490000000000001</v>
      </c>
      <c r="CY13" s="14">
        <v>0</v>
      </c>
      <c r="CZ13" s="14">
        <v>0.43</v>
      </c>
      <c r="DA13" s="14">
        <v>3.63</v>
      </c>
      <c r="DB13" s="14">
        <v>5.45</v>
      </c>
      <c r="DC13" s="14">
        <v>8.49</v>
      </c>
      <c r="DD13" s="14">
        <v>0.78</v>
      </c>
      <c r="DE13" s="14">
        <v>1.91</v>
      </c>
      <c r="DF13" s="14">
        <v>3.63</v>
      </c>
      <c r="DG13" s="14">
        <v>4.26</v>
      </c>
      <c r="DH13" s="14">
        <v>2.9060000000000001</v>
      </c>
      <c r="DI13" s="14">
        <v>5.3220000000000001</v>
      </c>
      <c r="DJ13" s="14">
        <v>5.9329999999999998</v>
      </c>
      <c r="DK13" s="14">
        <v>9.1869999999999994</v>
      </c>
      <c r="DL13" s="14">
        <v>4.2309999999999999</v>
      </c>
      <c r="DM13" s="14">
        <v>5.4880000000000004</v>
      </c>
      <c r="DN13" s="14">
        <v>5.24</v>
      </c>
      <c r="DO13" s="14">
        <v>3.6560000000000001</v>
      </c>
      <c r="DP13" s="14">
        <v>4.4960000000000004</v>
      </c>
      <c r="DQ13" s="14">
        <v>5.1280000000000001</v>
      </c>
      <c r="DR13" s="14">
        <v>2.64</v>
      </c>
      <c r="DS13" s="14">
        <v>2.6880000000000002</v>
      </c>
      <c r="DT13" s="14">
        <v>3.984</v>
      </c>
      <c r="DU13" s="14">
        <v>2.3039999999999998</v>
      </c>
      <c r="DV13" s="14">
        <v>2.8010000000000002</v>
      </c>
      <c r="DW13" s="14">
        <v>5.9859999999999998</v>
      </c>
      <c r="DX13" s="14">
        <v>5.9429999999999996</v>
      </c>
      <c r="DY13" s="14">
        <v>3.88</v>
      </c>
      <c r="DZ13" s="14">
        <v>4.2699999999999996</v>
      </c>
      <c r="EA13" s="14">
        <v>6.1</v>
      </c>
      <c r="EB13" s="14">
        <v>6.0049999999999999</v>
      </c>
      <c r="EC13" s="14">
        <v>6.3890000000000002</v>
      </c>
      <c r="ED13" s="14">
        <v>6.3179999999999996</v>
      </c>
      <c r="EE13" s="14">
        <v>6.1029999999999998</v>
      </c>
      <c r="EF13" s="14">
        <v>5.194</v>
      </c>
      <c r="EG13" s="14">
        <v>3.9740000000000002</v>
      </c>
      <c r="EH13" s="14">
        <v>6.0179999999999998</v>
      </c>
      <c r="EI13" s="14">
        <v>3.6459999999999999</v>
      </c>
      <c r="EJ13" s="14">
        <v>2</v>
      </c>
      <c r="EK13" s="14">
        <v>3.9039999999999999</v>
      </c>
      <c r="EL13" s="14">
        <v>4.1219999999999999</v>
      </c>
      <c r="EM13" s="14">
        <v>2.294</v>
      </c>
      <c r="EN13" s="14">
        <v>3.2829999999999999</v>
      </c>
      <c r="EO13" s="14">
        <v>3.6960000000000002</v>
      </c>
      <c r="EP13" s="14">
        <v>3.95</v>
      </c>
      <c r="EQ13" s="14">
        <v>0.11</v>
      </c>
      <c r="ER13" s="14">
        <v>2.1360000000000001</v>
      </c>
      <c r="ES13" s="14">
        <v>6.915</v>
      </c>
      <c r="ET13" s="14">
        <v>9.7759999999999998</v>
      </c>
      <c r="EU13" s="14">
        <v>2.5019999999999998</v>
      </c>
      <c r="EV13" s="14">
        <v>3.0680000000000001</v>
      </c>
      <c r="EW13" s="14">
        <v>8.032</v>
      </c>
      <c r="EX13" s="14">
        <v>2.722</v>
      </c>
      <c r="EY13" s="14">
        <v>4.0389999999999997</v>
      </c>
      <c r="EZ13" s="14">
        <v>12.558</v>
      </c>
      <c r="FA13" s="14">
        <v>3.5920000000000001</v>
      </c>
      <c r="FB13" s="14">
        <v>3.0369999999999999</v>
      </c>
      <c r="FC13" s="14">
        <v>12.718</v>
      </c>
      <c r="FD13" s="14">
        <v>3.6880000000000002</v>
      </c>
      <c r="FE13" s="14">
        <v>2.9860000000000002</v>
      </c>
      <c r="FF13" s="14">
        <v>2.831</v>
      </c>
      <c r="FG13" s="14">
        <v>7.8620000000000001</v>
      </c>
      <c r="FH13" s="14">
        <v>9.7530000000000001</v>
      </c>
      <c r="FI13" s="14">
        <v>2.274</v>
      </c>
      <c r="FJ13" s="14">
        <v>3.383</v>
      </c>
      <c r="FK13" s="14">
        <v>3.923</v>
      </c>
      <c r="FL13" s="14">
        <v>6.702</v>
      </c>
      <c r="FM13" s="14">
        <v>8.2360000000000007</v>
      </c>
      <c r="FN13" s="14">
        <v>6.970065</v>
      </c>
      <c r="FO13" s="14">
        <v>6.0279999999999996</v>
      </c>
      <c r="FP13" s="14">
        <v>9.0129999999999999</v>
      </c>
      <c r="FQ13" s="14">
        <v>5.7590000000000003</v>
      </c>
      <c r="FR13" s="14">
        <v>6.65</v>
      </c>
      <c r="FS13" s="14">
        <v>5.3879999999999999</v>
      </c>
      <c r="FT13" s="14">
        <v>8.6839999999999993</v>
      </c>
      <c r="FU13" s="14">
        <v>9.2620000000000005</v>
      </c>
      <c r="FV13" s="14">
        <v>8.1419999999999995</v>
      </c>
      <c r="FW13" s="14">
        <v>10.303000000000001</v>
      </c>
      <c r="FX13" s="14">
        <v>12.538</v>
      </c>
      <c r="FY13" s="14">
        <v>10.656000000000001</v>
      </c>
      <c r="FZ13" s="14">
        <v>9.1310000000000002</v>
      </c>
      <c r="GA13" s="14">
        <v>9.9450000000000003</v>
      </c>
      <c r="GB13" s="14">
        <v>10.672000000000001</v>
      </c>
      <c r="GC13" s="14">
        <v>10.669</v>
      </c>
      <c r="GD13" s="14">
        <v>10.304</v>
      </c>
      <c r="GE13" s="14">
        <v>8.5</v>
      </c>
      <c r="GF13" s="14">
        <v>12.814</v>
      </c>
      <c r="GG13" s="14">
        <v>10.459</v>
      </c>
      <c r="GH13" s="14">
        <v>12.972</v>
      </c>
      <c r="GI13" s="14">
        <v>11.44</v>
      </c>
      <c r="GJ13" s="14">
        <v>9.8170000000000002</v>
      </c>
      <c r="GK13" s="14">
        <v>7.27</v>
      </c>
      <c r="GL13" s="14">
        <v>1.28</v>
      </c>
      <c r="GM13" s="14">
        <v>3.1720000000000002</v>
      </c>
      <c r="GN13" s="14">
        <v>3.8730000000000002</v>
      </c>
      <c r="GO13" s="14">
        <v>1.19</v>
      </c>
      <c r="GP13" s="14">
        <v>1.0049999999999999</v>
      </c>
      <c r="GQ13" s="14">
        <v>2.1930000000000001</v>
      </c>
      <c r="GR13" s="14">
        <v>1.1100000000000001</v>
      </c>
      <c r="GS13" s="14">
        <v>3.177</v>
      </c>
      <c r="GT13" s="14">
        <v>3.5920000000000001</v>
      </c>
      <c r="GU13" s="14">
        <v>4.7779999999999996</v>
      </c>
      <c r="GV13" s="14">
        <v>3.2879999999999998</v>
      </c>
      <c r="GW13" s="14">
        <v>9.2799999999999994</v>
      </c>
      <c r="GX13" s="14">
        <v>8.1940000000000008</v>
      </c>
      <c r="GY13" s="14">
        <v>6.7640000000000002</v>
      </c>
      <c r="GZ13" s="14">
        <v>2.7989999999999999</v>
      </c>
      <c r="HA13" s="14">
        <v>2.383</v>
      </c>
      <c r="HB13" s="14">
        <v>2.2799999999999998</v>
      </c>
      <c r="HC13" s="14">
        <v>1.7030000000000001</v>
      </c>
      <c r="HD13" s="14">
        <v>2.036</v>
      </c>
      <c r="HE13" s="14">
        <v>1.0780000000000001</v>
      </c>
      <c r="HF13" s="14">
        <v>1.786</v>
      </c>
      <c r="HG13" s="14">
        <v>2.1739999999999999</v>
      </c>
      <c r="HH13" s="14">
        <v>0.77700000000000002</v>
      </c>
      <c r="HI13" s="14">
        <v>2.0720000000000001</v>
      </c>
      <c r="HJ13" s="14">
        <v>1.984</v>
      </c>
      <c r="HK13" s="14">
        <v>3.347</v>
      </c>
      <c r="HL13" s="14">
        <v>2.8069999999999999</v>
      </c>
      <c r="HM13" s="14">
        <v>2.8079999999999998</v>
      </c>
      <c r="HN13" s="14">
        <v>1.159</v>
      </c>
      <c r="HO13" s="14">
        <v>0.47199999999999998</v>
      </c>
      <c r="HP13" s="14">
        <v>2.61</v>
      </c>
      <c r="HQ13" s="14">
        <v>1.5780000000000001</v>
      </c>
      <c r="HR13" s="14">
        <v>3.827</v>
      </c>
      <c r="HS13" s="14">
        <v>5.1440000000000001</v>
      </c>
      <c r="HT13" s="14">
        <v>4.7190000000000003</v>
      </c>
      <c r="HU13" s="14">
        <v>3.7210000000000001</v>
      </c>
      <c r="HV13" s="14">
        <v>6.2839999999999998</v>
      </c>
      <c r="HW13" s="14">
        <v>0.82299999999999995</v>
      </c>
      <c r="HX13" s="14">
        <v>1.6830000000000001</v>
      </c>
      <c r="HY13" s="14">
        <v>0.26800000000000002</v>
      </c>
      <c r="HZ13" s="14">
        <v>0.78500000000000003</v>
      </c>
      <c r="IA13" s="14">
        <v>0.85799999999999998</v>
      </c>
      <c r="IB13" s="14">
        <v>0.38700000000000001</v>
      </c>
      <c r="IC13" s="14">
        <v>0.376</v>
      </c>
      <c r="ID13" s="14">
        <v>0.497</v>
      </c>
      <c r="IE13" s="14">
        <v>0.26294299999999998</v>
      </c>
      <c r="IF13" s="14">
        <v>0.28699999999999998</v>
      </c>
      <c r="IG13" s="14">
        <v>0.33629399999999998</v>
      </c>
      <c r="IH13" s="14">
        <v>0.28489500000000001</v>
      </c>
      <c r="II13" s="14">
        <v>0.82628999999999997</v>
      </c>
      <c r="IJ13" s="14">
        <v>0.45353251</v>
      </c>
      <c r="IK13" s="14">
        <v>0.501189</v>
      </c>
      <c r="IL13" s="14">
        <v>1.831197</v>
      </c>
      <c r="IM13" s="14">
        <v>0.29613600000000001</v>
      </c>
      <c r="IN13" s="14">
        <v>1.589925</v>
      </c>
      <c r="IO13" s="14">
        <v>1.0072509999999999</v>
      </c>
      <c r="IP13" s="14">
        <v>0.87440700000000005</v>
      </c>
      <c r="IQ13" s="14">
        <v>0.85296400000000006</v>
      </c>
      <c r="IR13" s="14">
        <v>1.1985170000000001</v>
      </c>
      <c r="IS13" s="14">
        <v>1.1342920000000001</v>
      </c>
      <c r="IT13" s="14">
        <v>0.907752</v>
      </c>
      <c r="IU13" s="14">
        <v>0.48064200000000001</v>
      </c>
      <c r="IV13" s="14">
        <v>0.64479600000000004</v>
      </c>
      <c r="IW13" s="14">
        <v>0.48967300000000002</v>
      </c>
      <c r="IX13" s="14">
        <v>0</v>
      </c>
      <c r="IY13" s="14">
        <v>0.1733769</v>
      </c>
      <c r="IZ13" s="14">
        <v>5.6000000000000001E-2</v>
      </c>
      <c r="JA13" s="14">
        <v>0.122373</v>
      </c>
      <c r="JB13" s="14">
        <v>0.35531600000000002</v>
      </c>
      <c r="JC13" s="14">
        <v>1.2619979399999999</v>
      </c>
      <c r="JD13" s="14">
        <v>0.80198159999999996</v>
      </c>
      <c r="JE13" s="14">
        <v>0.14474190000000001</v>
      </c>
      <c r="JF13" s="14">
        <v>0.41142299999999998</v>
      </c>
      <c r="JG13" s="14">
        <v>0.1404</v>
      </c>
      <c r="JH13" s="14">
        <v>0</v>
      </c>
      <c r="JI13" s="14">
        <v>0</v>
      </c>
      <c r="JJ13" s="14">
        <v>0</v>
      </c>
      <c r="JK13" s="14">
        <v>1.1700440000000001E-2</v>
      </c>
      <c r="JL13" s="14">
        <v>0</v>
      </c>
      <c r="JM13" s="14">
        <v>0</v>
      </c>
      <c r="JN13" s="14">
        <v>0</v>
      </c>
      <c r="JO13" s="14">
        <v>1.0399999999999999E-3</v>
      </c>
      <c r="JP13" s="14">
        <v>2.1931619999999999E-2</v>
      </c>
      <c r="JQ13" s="14">
        <v>0</v>
      </c>
      <c r="JR13" s="14">
        <v>7.9115000000000005E-2</v>
      </c>
      <c r="JS13" s="14">
        <v>2.8614596000000003E-2</v>
      </c>
      <c r="JT13" s="14">
        <v>2.5971999999999999E-2</v>
      </c>
      <c r="JU13" s="14">
        <v>0</v>
      </c>
      <c r="JV13" s="14">
        <v>2.4018000000000001E-2</v>
      </c>
      <c r="JW13" s="14">
        <v>3.5000000000000003E-2</v>
      </c>
      <c r="JX13" s="14">
        <v>2.145E-2</v>
      </c>
      <c r="JY13" s="14">
        <v>2.5100000000000001E-2</v>
      </c>
      <c r="JZ13" s="14">
        <v>7.3499999999999996E-2</v>
      </c>
      <c r="KA13" s="14">
        <v>0</v>
      </c>
      <c r="KB13" s="14">
        <v>0</v>
      </c>
      <c r="KC13" s="14">
        <v>0</v>
      </c>
      <c r="KD13" s="14">
        <v>0</v>
      </c>
      <c r="KE13" s="14">
        <v>0</v>
      </c>
      <c r="KF13" s="14">
        <v>0</v>
      </c>
      <c r="KG13" s="14">
        <v>0.06</v>
      </c>
      <c r="KH13" s="14">
        <v>0.78984158000000004</v>
      </c>
      <c r="KI13" s="14">
        <v>9.0884594969999988</v>
      </c>
      <c r="KJ13" s="14">
        <v>25.712773320000004</v>
      </c>
      <c r="KK13" s="14">
        <v>27.259440830000003</v>
      </c>
      <c r="KL13" s="14">
        <v>26.131010660000001</v>
      </c>
      <c r="KM13" s="14">
        <v>33.436237890000001</v>
      </c>
      <c r="KN13" s="14">
        <v>25.903615429999999</v>
      </c>
      <c r="KO13" s="14">
        <v>25.776945380000004</v>
      </c>
      <c r="KP13" s="14">
        <v>30.106528450000003</v>
      </c>
      <c r="KQ13" s="14">
        <v>25.33692175086917</v>
      </c>
      <c r="KR13" s="14">
        <v>37.61334403</v>
      </c>
      <c r="KS13" s="14">
        <v>29.002132249999995</v>
      </c>
      <c r="KT13" s="14">
        <v>27.70628125</v>
      </c>
      <c r="KU13" s="14">
        <v>27.99187332</v>
      </c>
      <c r="KV13" s="14">
        <v>23.277577360000002</v>
      </c>
      <c r="KW13" s="14">
        <v>29.067172809999999</v>
      </c>
      <c r="KX13" s="14">
        <v>21.562152257000001</v>
      </c>
      <c r="KY13" s="14">
        <v>24.363748108000003</v>
      </c>
      <c r="KZ13" s="14">
        <v>34.103637120000002</v>
      </c>
      <c r="LA13" s="14">
        <v>33.627253795000001</v>
      </c>
      <c r="LB13" s="14">
        <v>120.01238501199997</v>
      </c>
      <c r="LC13" s="14">
        <v>25.273817086437205</v>
      </c>
      <c r="LD13" s="14">
        <v>26.796574899999996</v>
      </c>
      <c r="LE13" s="14">
        <v>25.24028341678876</v>
      </c>
      <c r="LF13" s="14">
        <v>41.639605472693013</v>
      </c>
      <c r="LG13" s="14">
        <v>13.450605700000001</v>
      </c>
      <c r="LH13" s="14">
        <v>22.783596572526903</v>
      </c>
      <c r="LI13" s="14">
        <v>39.691293263165889</v>
      </c>
      <c r="LJ13" s="14">
        <v>19.409100326444104</v>
      </c>
      <c r="LK13" s="14">
        <v>25.05875057192516</v>
      </c>
      <c r="LL13" s="14">
        <v>35.901898770691261</v>
      </c>
      <c r="LM13" s="14">
        <v>39.549142044191996</v>
      </c>
      <c r="LN13" s="14">
        <v>28.510901657591088</v>
      </c>
      <c r="LO13" s="14">
        <v>29.813464670000002</v>
      </c>
      <c r="LP13" s="14">
        <v>41.120179489999998</v>
      </c>
      <c r="LQ13" s="14">
        <v>56.237360620000004</v>
      </c>
      <c r="LR13" s="14">
        <v>78.788385140000003</v>
      </c>
      <c r="LS13" s="14">
        <v>59.493694649999988</v>
      </c>
      <c r="LT13" s="14">
        <v>61.31198354</v>
      </c>
      <c r="LU13" s="149"/>
    </row>
    <row r="14" spans="1:333" x14ac:dyDescent="0.3">
      <c r="A14" s="2" t="s">
        <v>6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4">
        <v>0.47800000000000004</v>
      </c>
      <c r="AB14" s="14">
        <v>0.39400000000000002</v>
      </c>
      <c r="AC14" s="14">
        <v>0.44600000000000001</v>
      </c>
      <c r="AD14" s="14">
        <v>0.53200000000000003</v>
      </c>
      <c r="AE14" s="14">
        <v>0.13200000000000001</v>
      </c>
      <c r="AF14" s="14">
        <v>0.13100000000000001</v>
      </c>
      <c r="AG14" s="14">
        <v>7.1000000000000008E-2</v>
      </c>
      <c r="AH14" s="14">
        <v>0.11600000000000001</v>
      </c>
      <c r="AI14" s="14">
        <v>0.3</v>
      </c>
      <c r="AJ14" s="14">
        <v>0.67800000000000005</v>
      </c>
      <c r="AK14" s="14">
        <v>0.61299999999999999</v>
      </c>
      <c r="AL14" s="14">
        <v>0.39900000000000002</v>
      </c>
      <c r="AM14" s="14">
        <v>5.6000000000000001E-2</v>
      </c>
      <c r="AN14" s="14">
        <v>5.3000000000000005E-2</v>
      </c>
      <c r="AO14" s="14">
        <v>2.6000000000000002E-2</v>
      </c>
      <c r="AP14" s="14">
        <v>4.7E-2</v>
      </c>
      <c r="AQ14" s="14">
        <v>0</v>
      </c>
      <c r="AR14" s="14">
        <v>1.9E-2</v>
      </c>
      <c r="AS14" s="14">
        <v>0</v>
      </c>
      <c r="AT14" s="14">
        <v>0.80800000000000005</v>
      </c>
      <c r="AU14" s="14">
        <v>0.72</v>
      </c>
      <c r="AV14" s="14">
        <v>0.16</v>
      </c>
      <c r="AW14" s="14">
        <v>1.1539999999999999</v>
      </c>
      <c r="AX14" s="14">
        <v>0.26600000000000001</v>
      </c>
      <c r="AY14" s="14">
        <v>0.16600000000000001</v>
      </c>
      <c r="AZ14" s="14">
        <v>0.186</v>
      </c>
      <c r="BA14" s="14">
        <v>8.3000000000000004E-2</v>
      </c>
      <c r="BB14" s="14">
        <v>0.68800000000000006</v>
      </c>
      <c r="BC14" s="14">
        <v>0.68800000000000006</v>
      </c>
      <c r="BD14" s="14">
        <v>0.68800000000000006</v>
      </c>
      <c r="BE14" s="14">
        <v>0.33959323349999998</v>
      </c>
      <c r="BF14" s="14">
        <v>1.6954843185000001</v>
      </c>
      <c r="BG14" s="14">
        <v>2.0009641995000003</v>
      </c>
      <c r="BH14" s="14">
        <v>3.0170077499999999</v>
      </c>
      <c r="BI14" s="14">
        <v>2.4237283454999998</v>
      </c>
      <c r="BJ14" s="14">
        <v>1.2824238480000001</v>
      </c>
      <c r="BK14" s="14">
        <v>1.764</v>
      </c>
      <c r="BL14" s="14">
        <v>1.3048605</v>
      </c>
      <c r="BM14" s="14">
        <v>0.261849</v>
      </c>
      <c r="BN14" s="14">
        <v>0</v>
      </c>
      <c r="BO14" s="14">
        <v>0</v>
      </c>
      <c r="BP14" s="14">
        <v>0.3034</v>
      </c>
      <c r="BQ14" s="14">
        <v>2.5659999999999998</v>
      </c>
      <c r="BR14" s="14">
        <v>4.9109999999999996</v>
      </c>
      <c r="BS14" s="14">
        <v>4.6669999999999998</v>
      </c>
      <c r="BT14" s="14">
        <v>5.5229999999999997</v>
      </c>
      <c r="BU14" s="14">
        <v>4.7450000000000001</v>
      </c>
      <c r="BV14" s="14">
        <v>2.5880000000000001</v>
      </c>
      <c r="BW14" s="14">
        <v>1.6659999999999999</v>
      </c>
      <c r="BX14" s="14">
        <v>1.0509999999999999</v>
      </c>
      <c r="BY14" s="14">
        <v>0.877</v>
      </c>
      <c r="BZ14" s="14">
        <v>0.371</v>
      </c>
      <c r="CA14" s="14">
        <v>0.26500000000000001</v>
      </c>
      <c r="CB14" s="14">
        <v>9.4E-2</v>
      </c>
      <c r="CC14" s="14">
        <v>1.0860000000000001</v>
      </c>
      <c r="CD14" s="14">
        <v>1.508</v>
      </c>
      <c r="CE14" s="14">
        <v>1.7210000000000001</v>
      </c>
      <c r="CF14" s="14">
        <v>1.667</v>
      </c>
      <c r="CG14" s="14">
        <v>0.57400000000000007</v>
      </c>
      <c r="CH14" s="14">
        <v>0.502</v>
      </c>
      <c r="CI14" s="14">
        <v>2.0256000000000003</v>
      </c>
      <c r="CJ14" s="14">
        <v>0.17799999999999999</v>
      </c>
      <c r="CK14" s="14">
        <v>0</v>
      </c>
      <c r="CL14" s="14">
        <v>0</v>
      </c>
      <c r="CM14" s="14">
        <v>0</v>
      </c>
      <c r="CN14" s="14">
        <v>0</v>
      </c>
      <c r="CO14" s="14">
        <v>1.849</v>
      </c>
      <c r="CP14" s="14">
        <v>2.3479999999999999</v>
      </c>
      <c r="CQ14" s="14">
        <v>3.2080000000000002</v>
      </c>
      <c r="CR14" s="14">
        <v>0.19800000000000001</v>
      </c>
      <c r="CS14" s="14">
        <v>2.1949999999999998</v>
      </c>
      <c r="CT14" s="14">
        <v>0.61199999999999999</v>
      </c>
      <c r="CU14" s="14">
        <v>0.48599999999999999</v>
      </c>
      <c r="CV14" s="14">
        <v>0.46</v>
      </c>
      <c r="CW14" s="14">
        <v>0.255</v>
      </c>
      <c r="CX14" s="14">
        <v>0</v>
      </c>
      <c r="CY14" s="14">
        <v>0</v>
      </c>
      <c r="CZ14" s="14">
        <v>0.09</v>
      </c>
      <c r="DA14" s="14">
        <v>2.5030000000000001</v>
      </c>
      <c r="DB14" s="14">
        <v>3.9420000000000002</v>
      </c>
      <c r="DC14" s="14">
        <v>5.19</v>
      </c>
      <c r="DD14" s="14">
        <v>4.2</v>
      </c>
      <c r="DE14" s="14">
        <v>3.246</v>
      </c>
      <c r="DF14" s="14">
        <v>2.1269999999999998</v>
      </c>
      <c r="DG14" s="14">
        <v>0.77700000000000002</v>
      </c>
      <c r="DH14" s="14">
        <v>0</v>
      </c>
      <c r="DI14" s="14">
        <v>0</v>
      </c>
      <c r="DJ14" s="14">
        <v>0</v>
      </c>
      <c r="DK14" s="14">
        <v>0.14799999999999999</v>
      </c>
      <c r="DL14" s="14">
        <v>0</v>
      </c>
      <c r="DM14" s="14">
        <v>0.72699999999999998</v>
      </c>
      <c r="DN14" s="14">
        <v>3.093</v>
      </c>
      <c r="DO14" s="14">
        <v>2.7709999999999999</v>
      </c>
      <c r="DP14" s="14">
        <v>2.2160000000000002</v>
      </c>
      <c r="DQ14" s="14">
        <v>2.476</v>
      </c>
      <c r="DR14" s="14">
        <v>1.871</v>
      </c>
      <c r="DS14" s="14">
        <v>0.84160000000000013</v>
      </c>
      <c r="DT14" s="14">
        <v>0.27040000000000003</v>
      </c>
      <c r="DU14" s="14">
        <v>0.45119999999999999</v>
      </c>
      <c r="DV14" s="14">
        <v>2.4000000000000002E-3</v>
      </c>
      <c r="DW14" s="14">
        <v>7.1999999999999998E-3</v>
      </c>
      <c r="DX14" s="14">
        <v>0</v>
      </c>
      <c r="DY14" s="14">
        <v>1.8239999999999998</v>
      </c>
      <c r="DZ14" s="14">
        <v>3.5256000000000003</v>
      </c>
      <c r="EA14" s="14">
        <v>5.3224</v>
      </c>
      <c r="EB14" s="14">
        <v>2.5512000000000001</v>
      </c>
      <c r="EC14" s="14">
        <v>1.1784000000000001</v>
      </c>
      <c r="ED14" s="14">
        <v>2.0256000000000003</v>
      </c>
      <c r="EE14" s="14">
        <v>0.92300000000000004</v>
      </c>
      <c r="EF14" s="14">
        <v>0.55500000000000005</v>
      </c>
      <c r="EG14" s="14">
        <v>0</v>
      </c>
      <c r="EH14" s="14">
        <v>3.4000000000000002E-2</v>
      </c>
      <c r="EI14" s="14">
        <v>9.4E-2</v>
      </c>
      <c r="EJ14" s="14">
        <v>6.7000000000000004E-2</v>
      </c>
      <c r="EK14" s="14">
        <v>2.9209999999999998</v>
      </c>
      <c r="EL14" s="14">
        <v>4.0890000000000004</v>
      </c>
      <c r="EM14" s="14">
        <v>4.3369999999999997</v>
      </c>
      <c r="EN14" s="14">
        <v>2.0680000000000001</v>
      </c>
      <c r="EO14" s="14">
        <v>1.1919999999999999</v>
      </c>
      <c r="EP14" s="14">
        <v>0.6</v>
      </c>
      <c r="EQ14" s="14">
        <v>0.315</v>
      </c>
      <c r="ER14" s="14">
        <v>0.83499999999999996</v>
      </c>
      <c r="ES14" s="14">
        <v>1.825</v>
      </c>
      <c r="ET14" s="14">
        <v>0.08</v>
      </c>
      <c r="EU14" s="14">
        <v>0.58599999999999997</v>
      </c>
      <c r="EV14" s="14">
        <v>0.90500000000000003</v>
      </c>
      <c r="EW14" s="14">
        <v>8.94</v>
      </c>
      <c r="EX14" s="14">
        <v>7.734</v>
      </c>
      <c r="EY14" s="14">
        <v>8.6679999999999993</v>
      </c>
      <c r="EZ14" s="14">
        <v>5.0389999999999997</v>
      </c>
      <c r="FA14" s="14">
        <v>5.4269999999999996</v>
      </c>
      <c r="FB14" s="14">
        <v>2.4820000000000002</v>
      </c>
      <c r="FC14" s="14">
        <v>1.3560000000000001</v>
      </c>
      <c r="FD14" s="14">
        <v>2.9209999999999998</v>
      </c>
      <c r="FE14" s="14">
        <v>1.204</v>
      </c>
      <c r="FF14" s="14">
        <v>0.26100000000000001</v>
      </c>
      <c r="FG14" s="14">
        <v>0.06</v>
      </c>
      <c r="FH14" s="14">
        <v>0.73599999999999999</v>
      </c>
      <c r="FI14" s="14">
        <v>4.6566114001538121</v>
      </c>
      <c r="FJ14" s="14">
        <v>7.0687166489191284</v>
      </c>
      <c r="FK14" s="14">
        <v>6.3262685768498246</v>
      </c>
      <c r="FL14" s="14">
        <v>6.7778265884742641</v>
      </c>
      <c r="FM14" s="14">
        <v>5.7497034086392809</v>
      </c>
      <c r="FN14" s="14">
        <v>4.4984219737566704</v>
      </c>
      <c r="FO14" s="14">
        <v>1.4059607240400549</v>
      </c>
      <c r="FP14" s="14">
        <v>0.41359315611998293</v>
      </c>
      <c r="FQ14" s="14">
        <v>3.3005909593160493E-2</v>
      </c>
      <c r="FR14" s="14">
        <v>0.55127738858257513</v>
      </c>
      <c r="FS14" s="14">
        <v>0.13573099564093435</v>
      </c>
      <c r="FT14" s="14">
        <v>0.59288322923031667</v>
      </c>
      <c r="FU14" s="14">
        <v>1.1439999999999999</v>
      </c>
      <c r="FV14" s="14">
        <v>3.2749999999999999</v>
      </c>
      <c r="FW14" s="14">
        <v>0.30399999999999999</v>
      </c>
      <c r="FX14" s="14">
        <v>1.9970000000000001</v>
      </c>
      <c r="FY14" s="14">
        <v>0.124</v>
      </c>
      <c r="FZ14" s="14">
        <v>2.6080000000000001</v>
      </c>
      <c r="GA14" s="14">
        <v>0.34699999999999998</v>
      </c>
      <c r="GB14" s="14">
        <v>0.39500000000000002</v>
      </c>
      <c r="GC14" s="14">
        <v>0.33500000000000002</v>
      </c>
      <c r="GD14" s="14">
        <v>0.46</v>
      </c>
      <c r="GE14" s="14">
        <v>0.46700000000000003</v>
      </c>
      <c r="GF14" s="14">
        <v>0.39400000000000002</v>
      </c>
      <c r="GG14" s="14">
        <v>1.9239999999999999</v>
      </c>
      <c r="GH14" s="14">
        <v>2.8420000000000001</v>
      </c>
      <c r="GI14" s="14">
        <v>3.6179999999999999</v>
      </c>
      <c r="GJ14" s="14">
        <v>3.669</v>
      </c>
      <c r="GK14" s="14">
        <v>2.6880000000000002</v>
      </c>
      <c r="GL14" s="14">
        <v>2.5339999999999998</v>
      </c>
      <c r="GM14" s="14">
        <v>1.8009999999999999</v>
      </c>
      <c r="GN14" s="14">
        <v>1.1399999999999999</v>
      </c>
      <c r="GO14" s="14">
        <v>0.436</v>
      </c>
      <c r="GP14" s="14">
        <v>0.47799999999999998</v>
      </c>
      <c r="GQ14" s="14">
        <v>1.0189999999999999</v>
      </c>
      <c r="GR14" s="14">
        <v>0.34799999999999998</v>
      </c>
      <c r="GS14" s="14">
        <v>0.71799999999999997</v>
      </c>
      <c r="GT14" s="14">
        <v>2.02</v>
      </c>
      <c r="GU14" s="14">
        <v>3.2040000000000002</v>
      </c>
      <c r="GV14" s="14">
        <v>2.2559999999999998</v>
      </c>
      <c r="GW14" s="14">
        <v>3.4279999999999999</v>
      </c>
      <c r="GX14" s="14">
        <v>3.056</v>
      </c>
      <c r="GY14" s="14">
        <v>0.86699999999999999</v>
      </c>
      <c r="GZ14" s="14">
        <v>0.26200000000000001</v>
      </c>
      <c r="HA14" s="14">
        <v>0.83099999999999996</v>
      </c>
      <c r="HB14" s="14">
        <v>0.255</v>
      </c>
      <c r="HC14" s="14">
        <v>0.152</v>
      </c>
      <c r="HD14" s="14">
        <v>0.47599999999999998</v>
      </c>
      <c r="HE14" s="14">
        <v>1.9490000000000001</v>
      </c>
      <c r="HF14" s="14">
        <v>4.8680000000000003</v>
      </c>
      <c r="HG14" s="14">
        <v>4.8659999999999997</v>
      </c>
      <c r="HH14" s="14">
        <v>2.8029999999999999</v>
      </c>
      <c r="HI14" s="14">
        <v>2.1819999999999999</v>
      </c>
      <c r="HJ14" s="14">
        <v>0.59899999999999998</v>
      </c>
      <c r="HK14" s="14">
        <v>0.47599999999999998</v>
      </c>
      <c r="HL14" s="14">
        <v>0.58799999999999997</v>
      </c>
      <c r="HM14" s="14">
        <v>0.27300000000000002</v>
      </c>
      <c r="HN14" s="14">
        <v>0.28299999999999997</v>
      </c>
      <c r="HO14" s="14">
        <v>0.495</v>
      </c>
      <c r="HP14" s="14">
        <v>0.255</v>
      </c>
      <c r="HQ14" s="14">
        <v>1.159</v>
      </c>
      <c r="HR14" s="14">
        <v>1.667</v>
      </c>
      <c r="HS14" s="14">
        <v>3.1549999999999998</v>
      </c>
      <c r="HT14" s="14">
        <v>4.0460000000000003</v>
      </c>
      <c r="HU14" s="14">
        <v>3.61</v>
      </c>
      <c r="HV14" s="14">
        <v>1.0269999999999999</v>
      </c>
      <c r="HW14" s="14">
        <v>0.15</v>
      </c>
      <c r="HX14" s="14">
        <v>0</v>
      </c>
      <c r="HY14" s="14">
        <v>0.65</v>
      </c>
      <c r="HZ14" s="14">
        <v>0.77</v>
      </c>
      <c r="IA14" s="14">
        <v>0.56999999999999995</v>
      </c>
      <c r="IB14" s="14">
        <v>4.3819999999999997</v>
      </c>
      <c r="IC14" s="14">
        <v>12.374766019999992</v>
      </c>
      <c r="ID14" s="14">
        <v>17.535790910000003</v>
      </c>
      <c r="IE14" s="14">
        <v>23.496226579999995</v>
      </c>
      <c r="IF14" s="14">
        <v>12.90664385</v>
      </c>
      <c r="IG14" s="14">
        <v>8.645395289999998</v>
      </c>
      <c r="IH14" s="14">
        <v>1.4702093799999991</v>
      </c>
      <c r="II14" s="14">
        <v>4.0979207299999958</v>
      </c>
      <c r="IJ14" s="14">
        <v>1.19668843</v>
      </c>
      <c r="IK14" s="14">
        <v>0.24041952999999999</v>
      </c>
      <c r="IL14" s="14">
        <v>0</v>
      </c>
      <c r="IM14" s="14">
        <v>0.17226516</v>
      </c>
      <c r="IN14" s="14">
        <v>3.7395122999999995</v>
      </c>
      <c r="IO14" s="14">
        <v>9.3143964700000037</v>
      </c>
      <c r="IP14" s="14">
        <v>11.437838529999992</v>
      </c>
      <c r="IQ14" s="14">
        <v>16.277650690000016</v>
      </c>
      <c r="IR14" s="14">
        <v>12.617555849999993</v>
      </c>
      <c r="IS14" s="14">
        <v>9.2805053400000084</v>
      </c>
      <c r="IT14" s="14">
        <v>9.2160278899999977</v>
      </c>
      <c r="IU14" s="14">
        <v>1.52904296</v>
      </c>
      <c r="IV14" s="14">
        <v>1.5756672300000001</v>
      </c>
      <c r="IW14" s="14">
        <v>1.2725754100000004</v>
      </c>
      <c r="IX14" s="14">
        <v>2.3349745900000003</v>
      </c>
      <c r="IY14" s="14">
        <v>0.80458405999999993</v>
      </c>
      <c r="IZ14" s="14">
        <v>0.33696944000000001</v>
      </c>
      <c r="JA14" s="14">
        <v>2.8718880700000002</v>
      </c>
      <c r="JB14" s="14">
        <v>5.8635687699999961</v>
      </c>
      <c r="JC14" s="14">
        <v>6.0908228500000039</v>
      </c>
      <c r="JD14" s="14">
        <v>6.4797659400000009</v>
      </c>
      <c r="JE14" s="14">
        <v>4.9966129500000038</v>
      </c>
      <c r="JF14" s="14">
        <v>2.2987570600000007</v>
      </c>
      <c r="JG14" s="14">
        <v>1.2149964300000005</v>
      </c>
      <c r="JH14" s="14">
        <v>0.22215692000000001</v>
      </c>
      <c r="JI14" s="14">
        <v>0.10534449</v>
      </c>
      <c r="JJ14" s="14">
        <v>1.2030860799999996</v>
      </c>
      <c r="JK14" s="14">
        <v>0</v>
      </c>
      <c r="JL14" s="14">
        <v>7.4913750000000001E-2</v>
      </c>
      <c r="JM14" s="14">
        <v>1.7847647209999993</v>
      </c>
      <c r="JN14" s="14">
        <v>2.3790788720000005</v>
      </c>
      <c r="JO14" s="14">
        <v>5.5754714710000028</v>
      </c>
      <c r="JP14" s="14">
        <v>4.4539979700000014</v>
      </c>
      <c r="JQ14" s="14">
        <v>1.8820232508976196</v>
      </c>
      <c r="JR14" s="14">
        <v>2.854987306865215</v>
      </c>
      <c r="JS14" s="14">
        <v>1.2257407070000002</v>
      </c>
      <c r="JT14" s="14">
        <v>0.17471550899999999</v>
      </c>
      <c r="JU14" s="14">
        <v>0.31795748099999999</v>
      </c>
      <c r="JV14" s="14">
        <v>3.7942400000000006E-4</v>
      </c>
      <c r="JW14" s="14">
        <v>0.11998112799999999</v>
      </c>
      <c r="JX14" s="14">
        <v>1.0654079570000001</v>
      </c>
      <c r="JY14" s="14">
        <v>2.3184824449999986</v>
      </c>
      <c r="JZ14" s="14">
        <v>2.6142176429999986</v>
      </c>
      <c r="KA14" s="14">
        <v>4.2125806369999994</v>
      </c>
      <c r="KB14" s="14">
        <v>2.6920229399999993</v>
      </c>
      <c r="KC14" s="14">
        <v>1.0723108219999997</v>
      </c>
      <c r="KD14" s="14">
        <v>2.3685001160000021</v>
      </c>
      <c r="KE14" s="14">
        <v>2.3081656780000008</v>
      </c>
      <c r="KF14" s="14">
        <v>1.2474169490000002</v>
      </c>
      <c r="KG14" s="14">
        <v>0.43448697599999997</v>
      </c>
      <c r="KH14" s="14">
        <v>0.56019882820231015</v>
      </c>
      <c r="KI14" s="14">
        <v>0.39382037199999997</v>
      </c>
      <c r="KJ14" s="14">
        <v>0.34326880995541875</v>
      </c>
      <c r="KK14" s="14">
        <v>1.4187804520000002</v>
      </c>
      <c r="KL14" s="14">
        <v>2.100709992000001</v>
      </c>
      <c r="KM14" s="14">
        <v>3.8265355270000017</v>
      </c>
      <c r="KN14" s="14">
        <v>3.1123870969999974</v>
      </c>
      <c r="KO14" s="14">
        <v>4.0986445410000005</v>
      </c>
      <c r="KP14" s="14">
        <v>4.4476890699999982</v>
      </c>
      <c r="KQ14" s="14">
        <v>3.7300302939570869</v>
      </c>
      <c r="KR14" s="14">
        <v>2.3389891880000007</v>
      </c>
      <c r="KS14" s="14">
        <v>0.54283722599999995</v>
      </c>
      <c r="KT14" s="14">
        <v>0.11541799599999999</v>
      </c>
      <c r="KU14" s="14">
        <v>1.5793466099999998</v>
      </c>
      <c r="KV14" s="14">
        <v>4.1195864325560541</v>
      </c>
      <c r="KW14" s="14">
        <v>7.6043107900000075</v>
      </c>
      <c r="KX14" s="14">
        <v>6.4851315499999957</v>
      </c>
      <c r="KY14" s="14">
        <v>6.5554197739999998</v>
      </c>
      <c r="KZ14" s="14">
        <v>5.9042608520000002</v>
      </c>
      <c r="LA14" s="14">
        <v>5.6143368632488349</v>
      </c>
      <c r="LB14" s="14">
        <v>3.7203723169999989</v>
      </c>
      <c r="LC14" s="14">
        <v>2.1277073739527452</v>
      </c>
      <c r="LD14" s="14">
        <v>0.55887177467024418</v>
      </c>
      <c r="LE14" s="14">
        <v>7.9091560083000792E-2</v>
      </c>
      <c r="LF14" s="14">
        <v>0.88062616129650673</v>
      </c>
      <c r="LG14" s="14">
        <v>3.921727874350935</v>
      </c>
      <c r="LH14" s="14">
        <v>7.2443208487294948</v>
      </c>
      <c r="LI14" s="14">
        <v>8.142384998392858</v>
      </c>
      <c r="LJ14" s="14">
        <v>5.5936025585184321</v>
      </c>
      <c r="LK14" s="14">
        <v>4.6928912867995836</v>
      </c>
      <c r="LL14" s="14">
        <v>2.4675751592886814</v>
      </c>
      <c r="LM14" s="14">
        <v>2.507555461888427</v>
      </c>
      <c r="LN14" s="14">
        <v>2.9420108546868859</v>
      </c>
      <c r="LO14" s="14">
        <v>0.62092407999999999</v>
      </c>
      <c r="LP14" s="14">
        <v>4.247917769999999</v>
      </c>
      <c r="LQ14" s="14">
        <v>2.8826832400000013</v>
      </c>
      <c r="LR14" s="14">
        <v>3.2689237299999987</v>
      </c>
      <c r="LS14" s="14">
        <v>2.2927354300000005</v>
      </c>
      <c r="LT14" s="14">
        <v>4.6769396599999986</v>
      </c>
      <c r="LU14" s="149"/>
    </row>
    <row r="15" spans="1:333" x14ac:dyDescent="0.3">
      <c r="A15" s="2" t="s">
        <v>7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4">
        <v>1.2684520000000001</v>
      </c>
      <c r="AB15" s="14">
        <v>0.95704750000000005</v>
      </c>
      <c r="AC15" s="14">
        <v>0.86792500000000006</v>
      </c>
      <c r="AD15" s="14">
        <v>0.83178669999999999</v>
      </c>
      <c r="AE15" s="14">
        <v>1.0974300000000001</v>
      </c>
      <c r="AF15" s="14">
        <v>1.0881100000000001</v>
      </c>
      <c r="AG15" s="14">
        <v>0.8982150000000001</v>
      </c>
      <c r="AH15" s="14">
        <v>0.76173525000000009</v>
      </c>
      <c r="AI15" s="14">
        <v>0.78171500000000005</v>
      </c>
      <c r="AJ15" s="14">
        <v>1.1230599999999999</v>
      </c>
      <c r="AK15" s="14">
        <v>1.3480448</v>
      </c>
      <c r="AL15" s="14">
        <v>1.0762386500000001</v>
      </c>
      <c r="AM15" s="14">
        <v>1.1000644999999998</v>
      </c>
      <c r="AN15" s="14">
        <v>0.91508100000000003</v>
      </c>
      <c r="AO15" s="14">
        <v>0.83963599999999994</v>
      </c>
      <c r="AP15" s="14">
        <v>0.96427305000000008</v>
      </c>
      <c r="AQ15" s="14">
        <v>1.2613257999999998</v>
      </c>
      <c r="AR15" s="14">
        <v>0.79711939999999992</v>
      </c>
      <c r="AS15" s="14">
        <v>0.91201699999999997</v>
      </c>
      <c r="AT15" s="14">
        <v>0.58839399999999997</v>
      </c>
      <c r="AU15" s="14">
        <v>0.530281</v>
      </c>
      <c r="AV15" s="14">
        <v>0.41854200000000003</v>
      </c>
      <c r="AW15" s="14">
        <v>0.50504700000000002</v>
      </c>
      <c r="AX15" s="14">
        <v>0.54910499999999995</v>
      </c>
      <c r="AY15" s="14">
        <v>0.60696000000000006</v>
      </c>
      <c r="AZ15" s="14">
        <v>0.47480899999999998</v>
      </c>
      <c r="BA15" s="14">
        <v>0.58919299999999997</v>
      </c>
      <c r="BB15" s="14">
        <v>0.68984900000000005</v>
      </c>
      <c r="BC15" s="14">
        <v>0.66740600000000005</v>
      </c>
      <c r="BD15" s="14">
        <v>0.61119500000000004</v>
      </c>
      <c r="BE15" s="14">
        <v>0.80506999999999995</v>
      </c>
      <c r="BF15" s="14">
        <v>0.86006700000000003</v>
      </c>
      <c r="BG15" s="14">
        <v>0.90243499999999999</v>
      </c>
      <c r="BH15" s="14">
        <v>1.156812</v>
      </c>
      <c r="BI15" s="14">
        <v>1.303914</v>
      </c>
      <c r="BJ15" s="14">
        <v>1.3539239999999999</v>
      </c>
      <c r="BK15" s="14">
        <v>1.1524299600000001</v>
      </c>
      <c r="BL15" s="14">
        <v>1.322206</v>
      </c>
      <c r="BM15" s="14">
        <v>1.5097320000000001</v>
      </c>
      <c r="BN15" s="14">
        <v>1.5030570000000001</v>
      </c>
      <c r="BO15" s="14">
        <v>1.570921</v>
      </c>
      <c r="BP15" s="14">
        <v>1.864689</v>
      </c>
      <c r="BQ15" s="14">
        <v>2.0286369999999998</v>
      </c>
      <c r="BR15" s="14">
        <v>1.564646</v>
      </c>
      <c r="BS15" s="14">
        <v>1.432442</v>
      </c>
      <c r="BT15" s="14">
        <v>1.6991499999999999</v>
      </c>
      <c r="BU15" s="14">
        <v>2.854241</v>
      </c>
      <c r="BV15" s="14">
        <v>2.8191039999999998</v>
      </c>
      <c r="BW15" s="14">
        <v>2.5839819999999998</v>
      </c>
      <c r="BX15" s="14">
        <v>2.746985</v>
      </c>
      <c r="BY15" s="14">
        <v>2.691119</v>
      </c>
      <c r="BZ15" s="14">
        <v>2.8717860000000002</v>
      </c>
      <c r="CA15" s="14">
        <v>3.5874000000000001</v>
      </c>
      <c r="CB15" s="14">
        <v>3.6044830000000001</v>
      </c>
      <c r="CC15" s="14">
        <v>3.4468019999999999</v>
      </c>
      <c r="CD15" s="14">
        <v>4.4498889999999998</v>
      </c>
      <c r="CE15" s="14">
        <v>3.4380999999999999</v>
      </c>
      <c r="CF15" s="14">
        <v>2.1801080000000002</v>
      </c>
      <c r="CG15" s="14">
        <v>1.808867</v>
      </c>
      <c r="CH15" s="14">
        <v>1.6233340000000001</v>
      </c>
      <c r="CI15" s="14">
        <v>2.0979999999999999</v>
      </c>
      <c r="CJ15" s="14">
        <v>1.533129</v>
      </c>
      <c r="CK15" s="14">
        <v>1.4079999999999999</v>
      </c>
      <c r="CL15" s="14">
        <v>1.9696560000000001</v>
      </c>
      <c r="CM15" s="14">
        <v>1.992753</v>
      </c>
      <c r="CN15" s="14">
        <v>2.65</v>
      </c>
      <c r="CO15" s="14">
        <v>2.2770000000000001</v>
      </c>
      <c r="CP15" s="14">
        <v>1.76</v>
      </c>
      <c r="CQ15" s="14">
        <v>2.101</v>
      </c>
      <c r="CR15" s="14">
        <v>2.6150000000000002</v>
      </c>
      <c r="CS15" s="14">
        <v>1.536</v>
      </c>
      <c r="CT15" s="14">
        <v>1.145</v>
      </c>
      <c r="CU15" s="14">
        <v>1.139</v>
      </c>
      <c r="CV15" s="14">
        <v>0.66800000000000004</v>
      </c>
      <c r="CW15" s="14">
        <v>1.7370000000000001</v>
      </c>
      <c r="CX15" s="14">
        <v>1.7370000000000001</v>
      </c>
      <c r="CY15" s="14">
        <v>1.78</v>
      </c>
      <c r="CZ15" s="14">
        <v>3.875</v>
      </c>
      <c r="DA15" s="14">
        <v>3.1</v>
      </c>
      <c r="DB15" s="14">
        <v>3.81</v>
      </c>
      <c r="DC15" s="14">
        <v>2.89</v>
      </c>
      <c r="DD15" s="14">
        <v>2.73</v>
      </c>
      <c r="DE15" s="14">
        <v>4.5599999999999996</v>
      </c>
      <c r="DF15" s="14">
        <v>3.85</v>
      </c>
      <c r="DG15" s="14">
        <v>4.17</v>
      </c>
      <c r="DH15" s="14">
        <v>2.0299999999999998</v>
      </c>
      <c r="DI15" s="14">
        <v>2.75</v>
      </c>
      <c r="DJ15" s="14">
        <v>3.43</v>
      </c>
      <c r="DK15" s="14">
        <v>4.16</v>
      </c>
      <c r="DL15" s="14">
        <v>3.54</v>
      </c>
      <c r="DM15" s="14">
        <v>3.4039999999999999</v>
      </c>
      <c r="DN15" s="14">
        <v>2.62</v>
      </c>
      <c r="DO15" s="14">
        <v>2.8940000000000001</v>
      </c>
      <c r="DP15" s="14">
        <v>2.181</v>
      </c>
      <c r="DQ15" s="14">
        <v>2.6989999999999998</v>
      </c>
      <c r="DR15" s="14">
        <v>2.0550000000000002</v>
      </c>
      <c r="DS15" s="14">
        <v>3.4079999999999999</v>
      </c>
      <c r="DT15" s="14">
        <v>2.1709999999999998</v>
      </c>
      <c r="DU15" s="14">
        <v>1.5880000000000001</v>
      </c>
      <c r="DV15" s="14">
        <v>2.0139999999999998</v>
      </c>
      <c r="DW15" s="14">
        <v>2.4729999999999999</v>
      </c>
      <c r="DX15" s="14">
        <v>2.9239999999999999</v>
      </c>
      <c r="DY15" s="14">
        <v>2.3569160000000005</v>
      </c>
      <c r="DZ15" s="14">
        <v>1.6100700000000001</v>
      </c>
      <c r="EA15" s="14">
        <v>1.5239816900000001</v>
      </c>
      <c r="EB15" s="14">
        <v>2.2789999999999999</v>
      </c>
      <c r="EC15" s="14">
        <v>2.4049999999999998</v>
      </c>
      <c r="ED15" s="14">
        <v>2.0979999999999999</v>
      </c>
      <c r="EE15" s="14">
        <v>1.974</v>
      </c>
      <c r="EF15" s="14">
        <v>1.3859999999999999</v>
      </c>
      <c r="EG15" s="14">
        <v>2.13</v>
      </c>
      <c r="EH15" s="14">
        <v>2.7189999999999999</v>
      </c>
      <c r="EI15" s="14">
        <v>2.4300000000000002</v>
      </c>
      <c r="EJ15" s="14">
        <v>2.931</v>
      </c>
      <c r="EK15" s="14">
        <v>2.5995806200000002</v>
      </c>
      <c r="EL15" s="14">
        <v>2.6279762600000001</v>
      </c>
      <c r="EM15" s="14">
        <v>2.1053472000000002</v>
      </c>
      <c r="EN15" s="14">
        <v>2.2557630199999998</v>
      </c>
      <c r="EO15" s="14">
        <v>2.7551839999999999</v>
      </c>
      <c r="EP15" s="14">
        <v>3.5416359600000002</v>
      </c>
      <c r="EQ15" s="14">
        <v>2.8590118600000003</v>
      </c>
      <c r="ER15" s="14">
        <v>3.2420037499999999</v>
      </c>
      <c r="ES15" s="14">
        <v>2.9411928000000001</v>
      </c>
      <c r="ET15" s="14">
        <v>3.0562622999999998</v>
      </c>
      <c r="EU15" s="14">
        <v>3.5363928000000002</v>
      </c>
      <c r="EV15" s="14">
        <v>4.75355376</v>
      </c>
      <c r="EW15" s="14">
        <v>3.403</v>
      </c>
      <c r="EX15" s="14">
        <v>2.2850000000000001</v>
      </c>
      <c r="EY15" s="14">
        <v>3.274</v>
      </c>
      <c r="EZ15" s="14">
        <v>2.9980000000000002</v>
      </c>
      <c r="FA15" s="14">
        <v>3.9740000000000002</v>
      </c>
      <c r="FB15" s="14">
        <v>2.9279999999999999</v>
      </c>
      <c r="FC15" s="14">
        <v>1.804</v>
      </c>
      <c r="FD15" s="14">
        <v>1.3640000000000001</v>
      </c>
      <c r="FE15" s="14">
        <v>2.8530000000000002</v>
      </c>
      <c r="FF15" s="14">
        <v>3.2879999999999998</v>
      </c>
      <c r="FG15" s="14">
        <v>3.2719999999999998</v>
      </c>
      <c r="FH15" s="14">
        <v>4.016</v>
      </c>
      <c r="FI15" s="14">
        <v>2.785170780249274</v>
      </c>
      <c r="FJ15" s="14">
        <v>1.864151839227183</v>
      </c>
      <c r="FK15" s="14">
        <v>1.627746862627542</v>
      </c>
      <c r="FL15" s="14">
        <v>3.742863812243761</v>
      </c>
      <c r="FM15" s="14">
        <v>2.8979120583929068</v>
      </c>
      <c r="FN15" s="14">
        <v>3.062067590995917</v>
      </c>
      <c r="FO15" s="14">
        <v>2.7801689242183727</v>
      </c>
      <c r="FP15" s="14">
        <v>2.5849109413868496</v>
      </c>
      <c r="FQ15" s="14">
        <v>3.0053730840660702</v>
      </c>
      <c r="FR15" s="14">
        <v>2.7469840686218934</v>
      </c>
      <c r="FS15" s="14">
        <v>3.0846047107670609</v>
      </c>
      <c r="FT15" s="14">
        <v>3.7870453272031677</v>
      </c>
      <c r="FU15" s="14">
        <v>2.6819999999999999</v>
      </c>
      <c r="FV15" s="14">
        <v>1.151</v>
      </c>
      <c r="FW15" s="14">
        <v>0.13300000000000001</v>
      </c>
      <c r="FX15" s="14">
        <v>0.22</v>
      </c>
      <c r="FY15" s="14">
        <v>8.4000000000000005E-2</v>
      </c>
      <c r="FZ15" s="14">
        <v>3.899</v>
      </c>
      <c r="GA15" s="14">
        <v>2.9940000000000002</v>
      </c>
      <c r="GB15" s="14">
        <v>3.1320000000000001</v>
      </c>
      <c r="GC15" s="14">
        <v>3.234</v>
      </c>
      <c r="GD15" s="14">
        <v>3.718</v>
      </c>
      <c r="GE15" s="14">
        <v>4.6909999999999998</v>
      </c>
      <c r="GF15" s="14">
        <v>4.452</v>
      </c>
      <c r="GG15" s="14">
        <v>4.734</v>
      </c>
      <c r="GH15" s="14">
        <v>4.0540000000000003</v>
      </c>
      <c r="GI15" s="14">
        <v>2.7189999999999999</v>
      </c>
      <c r="GJ15" s="14">
        <v>3.0710000000000002</v>
      </c>
      <c r="GK15" s="14">
        <v>4.7350000000000003</v>
      </c>
      <c r="GL15" s="14">
        <v>4.41</v>
      </c>
      <c r="GM15" s="14">
        <v>3.6909999999999998</v>
      </c>
      <c r="GN15" s="14">
        <v>4.0919999999999996</v>
      </c>
      <c r="GO15" s="14">
        <v>3.0329999999999999</v>
      </c>
      <c r="GP15" s="14">
        <v>4.8280000000000003</v>
      </c>
      <c r="GQ15" s="14">
        <v>4.1859999999999999</v>
      </c>
      <c r="GR15" s="14">
        <v>4.0759999999999996</v>
      </c>
      <c r="GS15" s="14">
        <v>3.923</v>
      </c>
      <c r="GT15" s="14">
        <v>4.2560000000000002</v>
      </c>
      <c r="GU15" s="14">
        <v>2.2919999999999998</v>
      </c>
      <c r="GV15" s="14">
        <v>3.823</v>
      </c>
      <c r="GW15" s="14">
        <v>4.7050000000000001</v>
      </c>
      <c r="GX15" s="14">
        <v>3.8519999999999999</v>
      </c>
      <c r="GY15" s="14">
        <v>3.9929999999999999</v>
      </c>
      <c r="GZ15" s="14">
        <v>3.609</v>
      </c>
      <c r="HA15" s="14">
        <v>3.423</v>
      </c>
      <c r="HB15" s="14">
        <v>4.6950000000000003</v>
      </c>
      <c r="HC15" s="14">
        <v>4.8109999999999999</v>
      </c>
      <c r="HD15" s="14">
        <v>3.964</v>
      </c>
      <c r="HE15" s="14">
        <v>3.988</v>
      </c>
      <c r="HF15" s="14">
        <v>3.1480000000000001</v>
      </c>
      <c r="HG15" s="14">
        <v>5.0510000000000002</v>
      </c>
      <c r="HH15" s="14">
        <v>4.1100000000000003</v>
      </c>
      <c r="HI15" s="14">
        <v>4.585</v>
      </c>
      <c r="HJ15" s="14">
        <v>4.7880000000000003</v>
      </c>
      <c r="HK15" s="14">
        <v>4.6550000000000002</v>
      </c>
      <c r="HL15" s="14">
        <v>2.7090000000000001</v>
      </c>
      <c r="HM15" s="14">
        <v>3.8650000000000002</v>
      </c>
      <c r="HN15" s="14">
        <v>6.5750000000000002</v>
      </c>
      <c r="HO15" s="14">
        <v>8.6950000000000003</v>
      </c>
      <c r="HP15" s="14">
        <v>6.4450000000000003</v>
      </c>
      <c r="HQ15" s="14">
        <v>6.6980000000000004</v>
      </c>
      <c r="HR15" s="14">
        <v>5.2869999999999999</v>
      </c>
      <c r="HS15" s="14">
        <v>6.3929999999999998</v>
      </c>
      <c r="HT15" s="14">
        <v>7.0049999999999999</v>
      </c>
      <c r="HU15" s="14">
        <v>6.6989999999999998</v>
      </c>
      <c r="HV15" s="14">
        <v>5.9059999999999997</v>
      </c>
      <c r="HW15" s="14">
        <v>5.234</v>
      </c>
      <c r="HX15" s="14">
        <v>4.0069999999999997</v>
      </c>
      <c r="HY15" s="14">
        <v>4.0999999999999996</v>
      </c>
      <c r="HZ15" s="14">
        <v>5.5350000000000001</v>
      </c>
      <c r="IA15" s="14">
        <v>6.0940000000000003</v>
      </c>
      <c r="IB15" s="14">
        <v>5.2969999999999997</v>
      </c>
      <c r="IC15" s="14">
        <v>6.5673210099999979</v>
      </c>
      <c r="ID15" s="14">
        <v>3.6090633000000025</v>
      </c>
      <c r="IE15" s="14">
        <v>4.2907477500000004</v>
      </c>
      <c r="IF15" s="14">
        <v>5.9950947500000025</v>
      </c>
      <c r="IG15" s="14">
        <v>6.916394860000004</v>
      </c>
      <c r="IH15" s="14">
        <v>5.9573306300000004</v>
      </c>
      <c r="II15" s="14">
        <v>7.1065849999999999</v>
      </c>
      <c r="IJ15" s="14">
        <v>5.5052507099999977</v>
      </c>
      <c r="IK15" s="14">
        <v>5.9085414899999993</v>
      </c>
      <c r="IL15" s="14">
        <v>6.3330610200000033</v>
      </c>
      <c r="IM15" s="14">
        <v>6.7532719799999992</v>
      </c>
      <c r="IN15" s="14">
        <v>6.8719548399999999</v>
      </c>
      <c r="IO15" s="14">
        <v>7.4497843099999974</v>
      </c>
      <c r="IP15" s="14">
        <v>4.223328050000001</v>
      </c>
      <c r="IQ15" s="14">
        <v>2.9681114900000001</v>
      </c>
      <c r="IR15" s="14">
        <v>3.7009859700000018</v>
      </c>
      <c r="IS15" s="14">
        <v>8.347652140000001</v>
      </c>
      <c r="IT15" s="14">
        <v>6.4169931699999987</v>
      </c>
      <c r="IU15" s="14">
        <v>7.14</v>
      </c>
      <c r="IV15" s="14">
        <v>6.4626226199999977</v>
      </c>
      <c r="IW15" s="14">
        <v>5.784420830000002</v>
      </c>
      <c r="IX15" s="14">
        <v>6.6664400599999967</v>
      </c>
      <c r="IY15" s="14">
        <v>7.9628019399999985</v>
      </c>
      <c r="IZ15" s="14">
        <v>6.7801054000000027</v>
      </c>
      <c r="JA15" s="14">
        <v>8.7649088099999961</v>
      </c>
      <c r="JB15" s="14">
        <v>6.9480436699999988</v>
      </c>
      <c r="JC15" s="14">
        <v>5.2691821299999964</v>
      </c>
      <c r="JD15" s="14">
        <v>7.8685783000000011</v>
      </c>
      <c r="JE15" s="14">
        <v>9.3188190800000008</v>
      </c>
      <c r="JF15" s="14">
        <v>7.2294348199999972</v>
      </c>
      <c r="JG15" s="14">
        <v>6.4036661099999987</v>
      </c>
      <c r="JH15" s="14">
        <v>4.0104800699999998</v>
      </c>
      <c r="JI15" s="14">
        <v>5.5956083900000015</v>
      </c>
      <c r="JJ15" s="14">
        <v>8.5802654500000024</v>
      </c>
      <c r="JK15" s="14">
        <v>7.8948133800000013</v>
      </c>
      <c r="JL15" s="14">
        <v>7.7396034100000026</v>
      </c>
      <c r="JM15" s="14">
        <v>7.8427459052445991</v>
      </c>
      <c r="JN15" s="14">
        <v>4.6327065459999988</v>
      </c>
      <c r="JO15" s="14">
        <v>4.2774216169999981</v>
      </c>
      <c r="JP15" s="14">
        <v>6.7312429012494173</v>
      </c>
      <c r="JQ15" s="14">
        <v>10.720861274231185</v>
      </c>
      <c r="JR15" s="14">
        <v>8.7904903761200774</v>
      </c>
      <c r="JS15" s="14">
        <v>7.3092984893829342</v>
      </c>
      <c r="JT15" s="14">
        <v>5.7662155113166076</v>
      </c>
      <c r="JU15" s="14">
        <v>6.5513406618228194</v>
      </c>
      <c r="JV15" s="14">
        <v>7.4379837351125655</v>
      </c>
      <c r="JW15" s="14">
        <v>7.6256347690281974</v>
      </c>
      <c r="JX15" s="14">
        <v>7.0137028625522166</v>
      </c>
      <c r="JY15" s="14">
        <v>6.1258962709388571</v>
      </c>
      <c r="JZ15" s="14">
        <v>3.8798356514407155</v>
      </c>
      <c r="KA15" s="14">
        <v>3.0418896290000008</v>
      </c>
      <c r="KB15" s="14">
        <v>4.4649924943060579</v>
      </c>
      <c r="KC15" s="14">
        <v>7.8225829590395017</v>
      </c>
      <c r="KD15" s="14">
        <v>6.3335157581878221</v>
      </c>
      <c r="KE15" s="14">
        <v>6.5395278510564747</v>
      </c>
      <c r="KF15" s="14">
        <v>6.1332963810000063</v>
      </c>
      <c r="KG15" s="14">
        <v>5.3053825639999994</v>
      </c>
      <c r="KH15" s="14">
        <v>6.6231286050959151</v>
      </c>
      <c r="KI15" s="14">
        <v>6.7408661659031228</v>
      </c>
      <c r="KJ15" s="14">
        <v>6.9298015669999948</v>
      </c>
      <c r="KK15" s="14">
        <v>7.1145542105538233</v>
      </c>
      <c r="KL15" s="14">
        <v>4.770194736859465</v>
      </c>
      <c r="KM15" s="14">
        <v>3.8750857300000008</v>
      </c>
      <c r="KN15" s="14">
        <v>5.3747615585346811</v>
      </c>
      <c r="KO15" s="14">
        <v>8.3167193290000032</v>
      </c>
      <c r="KP15" s="14">
        <v>6.7732414190000059</v>
      </c>
      <c r="KQ15" s="14">
        <v>6.3334524349999972</v>
      </c>
      <c r="KR15" s="14">
        <v>4.6384467429322402</v>
      </c>
      <c r="KS15" s="14">
        <v>5.1352655352578696</v>
      </c>
      <c r="KT15" s="14">
        <v>6.4151645343247763</v>
      </c>
      <c r="KU15" s="14">
        <v>6.908795564198523</v>
      </c>
      <c r="KV15" s="14">
        <v>5.9209724499999954</v>
      </c>
      <c r="KW15" s="14">
        <v>5.9962273231891174</v>
      </c>
      <c r="KX15" s="14">
        <v>3.5558663902576146</v>
      </c>
      <c r="KY15" s="14">
        <v>4.2147493522850255</v>
      </c>
      <c r="KZ15" s="14">
        <v>5.9684513155277479</v>
      </c>
      <c r="LA15" s="14">
        <v>6.4953930371604089</v>
      </c>
      <c r="LB15" s="14">
        <v>6.279815197999997</v>
      </c>
      <c r="LC15" s="14">
        <v>6.0049523642764555</v>
      </c>
      <c r="LD15" s="14">
        <v>4.4977654568290122</v>
      </c>
      <c r="LE15" s="14">
        <v>7.7597286568959412</v>
      </c>
      <c r="LF15" s="14">
        <v>9.3778422717372507</v>
      </c>
      <c r="LG15" s="14">
        <v>9.8168729146490268</v>
      </c>
      <c r="LH15" s="14">
        <v>9.7568871470670491</v>
      </c>
      <c r="LI15" s="14">
        <v>8.283694284525442</v>
      </c>
      <c r="LJ15" s="14">
        <v>4.7975269731976429</v>
      </c>
      <c r="LK15" s="14">
        <v>4.3991691302973246</v>
      </c>
      <c r="LL15" s="14">
        <v>8.9005146785003273</v>
      </c>
      <c r="LM15" s="14">
        <v>8.9938614809752355</v>
      </c>
      <c r="LN15" s="14">
        <v>9.0206938886019667</v>
      </c>
      <c r="LO15" s="14">
        <v>8.373656010000003</v>
      </c>
      <c r="LP15" s="14">
        <v>5.8854048299999979</v>
      </c>
      <c r="LQ15" s="14">
        <v>6.7450840800000016</v>
      </c>
      <c r="LR15" s="14">
        <v>7.8014833100000001</v>
      </c>
      <c r="LS15" s="14">
        <v>8.501711250000012</v>
      </c>
      <c r="LT15" s="14">
        <v>7.1738766100000069</v>
      </c>
      <c r="LU15" s="149"/>
    </row>
    <row r="16" spans="1:333" x14ac:dyDescent="0.3">
      <c r="A16" s="2" t="s">
        <v>8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4">
        <v>0.93400000000000005</v>
      </c>
      <c r="AB16" s="14">
        <v>0.13700000000000001</v>
      </c>
      <c r="AC16" s="14">
        <v>0.65</v>
      </c>
      <c r="AD16" s="14">
        <v>0.13500000000000001</v>
      </c>
      <c r="AE16" s="14">
        <v>0.54800000000000004</v>
      </c>
      <c r="AF16" s="14">
        <v>0.61599999999999999</v>
      </c>
      <c r="AG16" s="14">
        <v>0.3</v>
      </c>
      <c r="AH16" s="14">
        <v>1.113</v>
      </c>
      <c r="AI16" s="14">
        <v>0.84499999999999997</v>
      </c>
      <c r="AJ16" s="14">
        <v>0.26400000000000001</v>
      </c>
      <c r="AK16" s="14">
        <v>0.20100000000000001</v>
      </c>
      <c r="AL16" s="14">
        <v>0.16400000000000001</v>
      </c>
      <c r="AM16" s="14">
        <v>0</v>
      </c>
      <c r="AN16" s="14">
        <v>0.316</v>
      </c>
      <c r="AO16" s="14">
        <v>0.316</v>
      </c>
      <c r="AP16" s="14">
        <v>0.32200000000000001</v>
      </c>
      <c r="AQ16" s="14">
        <v>1.0649999999999999</v>
      </c>
      <c r="AR16" s="14">
        <v>1.669</v>
      </c>
      <c r="AS16" s="14">
        <v>1.0110000000000001</v>
      </c>
      <c r="AT16" s="14">
        <v>0.73399999999999999</v>
      </c>
      <c r="AU16" s="14">
        <v>0.85599999999999998</v>
      </c>
      <c r="AV16" s="14">
        <v>0.78200000000000003</v>
      </c>
      <c r="AW16" s="14">
        <v>0.57999999999999996</v>
      </c>
      <c r="AX16" s="14">
        <v>0.435</v>
      </c>
      <c r="AY16" s="14">
        <v>0.93900000000000006</v>
      </c>
      <c r="AZ16" s="14">
        <v>0.67600000000000005</v>
      </c>
      <c r="BA16" s="14">
        <v>0.38200000000000001</v>
      </c>
      <c r="BB16" s="14">
        <v>0.66100000000000003</v>
      </c>
      <c r="BC16" s="14">
        <v>0.70899999999999996</v>
      </c>
      <c r="BD16" s="14">
        <v>1.7330000000000001</v>
      </c>
      <c r="BE16" s="14">
        <v>1.1220000000000001</v>
      </c>
      <c r="BF16" s="14">
        <v>0.77700000000000002</v>
      </c>
      <c r="BG16" s="14">
        <v>0.23100000000000001</v>
      </c>
      <c r="BH16" s="14">
        <v>0.189</v>
      </c>
      <c r="BI16" s="14">
        <v>0.46</v>
      </c>
      <c r="BJ16" s="14">
        <v>6.2E-2</v>
      </c>
      <c r="BK16" s="14">
        <v>0.35299999999999998</v>
      </c>
      <c r="BL16" s="14">
        <v>1.8000000000000002E-2</v>
      </c>
      <c r="BM16" s="14">
        <v>0.20100000000000001</v>
      </c>
      <c r="BN16" s="14">
        <v>0.27100000000000002</v>
      </c>
      <c r="BO16" s="14">
        <v>0.65900000000000003</v>
      </c>
      <c r="BP16" s="14">
        <v>0.56900000000000006</v>
      </c>
      <c r="BQ16" s="14">
        <v>1.722</v>
      </c>
      <c r="BR16" s="14">
        <v>1.5349999999999999</v>
      </c>
      <c r="BS16" s="14">
        <v>1.9930000000000001</v>
      </c>
      <c r="BT16" s="14">
        <v>0.93</v>
      </c>
      <c r="BU16" s="14">
        <v>0.1</v>
      </c>
      <c r="BV16" s="14">
        <v>0.25600000000000001</v>
      </c>
      <c r="BW16" s="14">
        <v>0.17599999999999999</v>
      </c>
      <c r="BX16" s="14">
        <v>0.67100000000000004</v>
      </c>
      <c r="BY16" s="14">
        <v>0.52500000000000002</v>
      </c>
      <c r="BZ16" s="14">
        <v>1.865639</v>
      </c>
      <c r="CA16" s="14">
        <v>1.55</v>
      </c>
      <c r="CB16" s="14">
        <v>1.51387</v>
      </c>
      <c r="CC16" s="14">
        <v>0</v>
      </c>
      <c r="CD16" s="14">
        <v>1.7929999999999999</v>
      </c>
      <c r="CE16" s="14">
        <v>0.84</v>
      </c>
      <c r="CF16" s="14">
        <v>1.33</v>
      </c>
      <c r="CG16" s="14">
        <v>0.46900000000000003</v>
      </c>
      <c r="CH16" s="14">
        <v>7.6999999999999999E-2</v>
      </c>
      <c r="CI16" s="14">
        <v>2.177</v>
      </c>
      <c r="CJ16" s="14">
        <v>2.0870000000000002</v>
      </c>
      <c r="CK16" s="14">
        <v>2.117</v>
      </c>
      <c r="CL16" s="14">
        <v>3.266</v>
      </c>
      <c r="CM16" s="14">
        <v>2.992</v>
      </c>
      <c r="CN16" s="14">
        <v>2.62</v>
      </c>
      <c r="CO16" s="14">
        <v>1.0669999999999999</v>
      </c>
      <c r="CP16" s="14">
        <v>3.1179999999999999</v>
      </c>
      <c r="CQ16" s="14">
        <v>3.145</v>
      </c>
      <c r="CR16" s="14">
        <v>0.91600000000000004</v>
      </c>
      <c r="CS16" s="14">
        <v>1.036</v>
      </c>
      <c r="CT16" s="14">
        <v>0.41400000000000003</v>
      </c>
      <c r="CU16" s="14">
        <v>0.15</v>
      </c>
      <c r="CV16" s="14">
        <v>0.61199999999999999</v>
      </c>
      <c r="CW16" s="14">
        <v>1.7290000000000001</v>
      </c>
      <c r="CX16" s="14">
        <v>3.1E-2</v>
      </c>
      <c r="CY16" s="14">
        <v>0</v>
      </c>
      <c r="CZ16" s="14">
        <v>2.4889999999999999</v>
      </c>
      <c r="DA16" s="14">
        <v>2.4159999999999999</v>
      </c>
      <c r="DB16" s="14">
        <v>2.1779999999999999</v>
      </c>
      <c r="DC16" s="14">
        <v>2.9809999999999999</v>
      </c>
      <c r="DD16" s="14">
        <v>5.2919999999999998</v>
      </c>
      <c r="DE16" s="14">
        <v>1.5680000000000001</v>
      </c>
      <c r="DF16" s="14">
        <v>2.9860000000000002</v>
      </c>
      <c r="DG16" s="14">
        <v>0.113</v>
      </c>
      <c r="DH16" s="14">
        <v>0.505</v>
      </c>
      <c r="DI16" s="14">
        <v>0.60399999999999998</v>
      </c>
      <c r="DJ16" s="14">
        <v>0.74099999999999999</v>
      </c>
      <c r="DK16" s="14">
        <v>2.5550000000000002</v>
      </c>
      <c r="DL16" s="14">
        <v>2.9870000000000001</v>
      </c>
      <c r="DM16" s="14">
        <v>3.0830000000000002</v>
      </c>
      <c r="DN16" s="14">
        <v>2.62</v>
      </c>
      <c r="DO16" s="14">
        <v>5.2850000000000001</v>
      </c>
      <c r="DP16" s="14">
        <v>4.8390000000000004</v>
      </c>
      <c r="DQ16" s="14">
        <v>2.2639999999999998</v>
      </c>
      <c r="DR16" s="14">
        <v>2.048</v>
      </c>
      <c r="DS16" s="14">
        <v>1.2230000000000001</v>
      </c>
      <c r="DT16" s="14">
        <v>2.2599999999999998</v>
      </c>
      <c r="DU16" s="14">
        <v>0.499</v>
      </c>
      <c r="DV16" s="14">
        <v>2.41</v>
      </c>
      <c r="DW16" s="14">
        <v>1.423</v>
      </c>
      <c r="DX16" s="14">
        <v>3.246</v>
      </c>
      <c r="DY16" s="14">
        <v>4.08</v>
      </c>
      <c r="DZ16" s="14">
        <v>1.47</v>
      </c>
      <c r="EA16" s="14">
        <v>6.9020000000000001</v>
      </c>
      <c r="EB16" s="14">
        <v>2.4039999999999999</v>
      </c>
      <c r="EC16" s="14">
        <v>4.1760000000000002</v>
      </c>
      <c r="ED16" s="14">
        <v>2.177</v>
      </c>
      <c r="EE16" s="14">
        <v>1.0629999999999999</v>
      </c>
      <c r="EF16" s="14">
        <v>2.2490000000000001</v>
      </c>
      <c r="EG16" s="14">
        <v>0.80100000000000005</v>
      </c>
      <c r="EH16" s="14">
        <v>2.2349999999999999</v>
      </c>
      <c r="EI16" s="14">
        <v>5.23</v>
      </c>
      <c r="EJ16" s="14">
        <v>3.383</v>
      </c>
      <c r="EK16" s="14">
        <v>8.4979999999999993</v>
      </c>
      <c r="EL16" s="14">
        <v>3.71</v>
      </c>
      <c r="EM16" s="14">
        <v>5.6120000000000001</v>
      </c>
      <c r="EN16" s="14">
        <v>3.9820000000000002</v>
      </c>
      <c r="EO16" s="14">
        <v>1.8680000000000001</v>
      </c>
      <c r="EP16" s="14">
        <v>1.26</v>
      </c>
      <c r="EQ16" s="14">
        <v>1.7609999999999999</v>
      </c>
      <c r="ER16" s="14">
        <v>1.6779999999999999</v>
      </c>
      <c r="ES16" s="14">
        <v>4.0179999999999998</v>
      </c>
      <c r="ET16" s="14">
        <v>4.6020000000000003</v>
      </c>
      <c r="EU16" s="14">
        <v>0.877</v>
      </c>
      <c r="EV16" s="14">
        <v>0.54100000000000004</v>
      </c>
      <c r="EW16" s="14">
        <v>4.0069999999999997</v>
      </c>
      <c r="EX16" s="14">
        <v>4.7910000000000004</v>
      </c>
      <c r="EY16" s="14">
        <v>6.39</v>
      </c>
      <c r="EZ16" s="14">
        <v>4.3369999999999997</v>
      </c>
      <c r="FA16" s="14">
        <v>1.532</v>
      </c>
      <c r="FB16" s="14">
        <v>1.6259999999999999</v>
      </c>
      <c r="FC16" s="14">
        <v>1.101</v>
      </c>
      <c r="FD16" s="14">
        <v>4.0659999999999998</v>
      </c>
      <c r="FE16" s="14">
        <v>4.452</v>
      </c>
      <c r="FF16" s="14">
        <v>1.9930000000000001</v>
      </c>
      <c r="FG16" s="14">
        <v>2.7229999999999999</v>
      </c>
      <c r="FH16" s="14">
        <v>3.3159999999999998</v>
      </c>
      <c r="FI16" s="14">
        <v>2.3172061911485198</v>
      </c>
      <c r="FJ16" s="14">
        <v>3.7741569929199037</v>
      </c>
      <c r="FK16" s="14">
        <v>2.6486499380825523</v>
      </c>
      <c r="FL16" s="14">
        <v>3.1593490663022288</v>
      </c>
      <c r="FM16" s="14">
        <v>3.2847884028692493</v>
      </c>
      <c r="FN16" s="14">
        <v>1.4364635639485794</v>
      </c>
      <c r="FO16" s="14">
        <v>1.7313731995034336</v>
      </c>
      <c r="FP16" s="14">
        <v>2.1039135289205366</v>
      </c>
      <c r="FQ16" s="14">
        <v>2.5994256192309635</v>
      </c>
      <c r="FR16" s="14">
        <v>4.4557548157364666</v>
      </c>
      <c r="FS16" s="14">
        <v>2.2116346545934324</v>
      </c>
      <c r="FT16" s="14">
        <v>1.4648750267441335</v>
      </c>
      <c r="FU16" s="14">
        <v>1.1830000000000001</v>
      </c>
      <c r="FV16" s="14">
        <v>1.9670000000000001</v>
      </c>
      <c r="FW16" s="14">
        <v>2.34</v>
      </c>
      <c r="FX16" s="14">
        <v>4.194</v>
      </c>
      <c r="FY16" s="14">
        <v>5.5090000000000003</v>
      </c>
      <c r="FZ16" s="14">
        <v>2.8050000000000002</v>
      </c>
      <c r="GA16" s="14">
        <v>2.8380000000000001</v>
      </c>
      <c r="GB16" s="14">
        <v>1.982</v>
      </c>
      <c r="GC16" s="14">
        <v>1.4079999999999999</v>
      </c>
      <c r="GD16" s="14">
        <v>0.81100000000000005</v>
      </c>
      <c r="GE16" s="14">
        <v>0.2</v>
      </c>
      <c r="GF16" s="14">
        <v>2.3519999999999999</v>
      </c>
      <c r="GG16" s="14">
        <v>2.165</v>
      </c>
      <c r="GH16" s="14">
        <v>9.23</v>
      </c>
      <c r="GI16" s="14">
        <v>10.49</v>
      </c>
      <c r="GJ16" s="14">
        <v>4.883</v>
      </c>
      <c r="GK16" s="14">
        <v>4.2169999999999996</v>
      </c>
      <c r="GL16" s="14">
        <v>6.1609999999999996</v>
      </c>
      <c r="GM16" s="14">
        <v>2.3559999999999999</v>
      </c>
      <c r="GN16" s="14">
        <v>1.9079999999999999</v>
      </c>
      <c r="GO16" s="14">
        <v>3.0510000000000002</v>
      </c>
      <c r="GP16" s="14">
        <v>2.5259999999999998</v>
      </c>
      <c r="GQ16" s="14">
        <v>10.009</v>
      </c>
      <c r="GR16" s="14">
        <v>8.3000000000000007</v>
      </c>
      <c r="GS16" s="14">
        <v>0.40699999999999997</v>
      </c>
      <c r="GT16" s="14">
        <v>6.5330000000000004</v>
      </c>
      <c r="GU16" s="14">
        <v>13.163</v>
      </c>
      <c r="GV16" s="14">
        <v>5.1029999999999998</v>
      </c>
      <c r="GW16" s="14">
        <v>5.4930000000000003</v>
      </c>
      <c r="GX16" s="14">
        <v>5.6390000000000002</v>
      </c>
      <c r="GY16" s="14">
        <v>4.734</v>
      </c>
      <c r="GZ16" s="14">
        <v>4.6509999999999998</v>
      </c>
      <c r="HA16" s="14">
        <v>3.9209999999999998</v>
      </c>
      <c r="HB16" s="14">
        <v>9.6809999999999992</v>
      </c>
      <c r="HC16" s="14">
        <v>5.2309999999999999</v>
      </c>
      <c r="HD16" s="14">
        <v>8.17</v>
      </c>
      <c r="HE16" s="14">
        <v>2.7839999999999998</v>
      </c>
      <c r="HF16" s="14">
        <v>7.577</v>
      </c>
      <c r="HG16" s="14">
        <v>5.7210000000000001</v>
      </c>
      <c r="HH16" s="14">
        <v>2.61</v>
      </c>
      <c r="HI16" s="14">
        <v>4.4039999999999999</v>
      </c>
      <c r="HJ16" s="14">
        <v>3.1509999999999998</v>
      </c>
      <c r="HK16" s="14">
        <v>5.4809999999999999</v>
      </c>
      <c r="HL16" s="14">
        <v>7.0190000000000001</v>
      </c>
      <c r="HM16" s="14">
        <v>4.7119999999999997</v>
      </c>
      <c r="HN16" s="14">
        <v>3.72</v>
      </c>
      <c r="HO16" s="14">
        <v>7.1020000000000003</v>
      </c>
      <c r="HP16" s="14">
        <v>7.4139999999999997</v>
      </c>
      <c r="HQ16" s="14">
        <v>8.3659999999999997</v>
      </c>
      <c r="HR16" s="14">
        <v>9.7609999999999992</v>
      </c>
      <c r="HS16" s="14">
        <v>5.09</v>
      </c>
      <c r="HT16" s="14">
        <v>8.3780000000000001</v>
      </c>
      <c r="HU16" s="14">
        <v>6.9390000000000001</v>
      </c>
      <c r="HV16" s="14">
        <v>2.633</v>
      </c>
      <c r="HW16" s="14">
        <v>4.5540000000000003</v>
      </c>
      <c r="HX16" s="14">
        <v>3.3620000000000001</v>
      </c>
      <c r="HY16" s="14">
        <v>3.6819999999999999</v>
      </c>
      <c r="HZ16" s="14">
        <v>4.3650000000000002</v>
      </c>
      <c r="IA16" s="14">
        <v>4.6210000000000004</v>
      </c>
      <c r="IB16" s="14">
        <v>7.6</v>
      </c>
      <c r="IC16" s="14">
        <v>3.2730000000000001</v>
      </c>
      <c r="ID16" s="14">
        <v>6.5570000000000004</v>
      </c>
      <c r="IE16" s="14">
        <v>7.2596769999999999</v>
      </c>
      <c r="IF16" s="14">
        <v>3.8039999999999998</v>
      </c>
      <c r="IG16" s="14">
        <v>4.7170009999999998</v>
      </c>
      <c r="IH16" s="14">
        <v>4.3252199999999998</v>
      </c>
      <c r="II16" s="14">
        <v>2.4896729999999998</v>
      </c>
      <c r="IJ16" s="14">
        <v>3.1871834999999997</v>
      </c>
      <c r="IK16" s="14">
        <v>3.99797534</v>
      </c>
      <c r="IL16" s="14">
        <v>2.9578111199999992</v>
      </c>
      <c r="IM16" s="14">
        <v>6.5249726300000042</v>
      </c>
      <c r="IN16" s="14">
        <v>5.4251466899999992</v>
      </c>
      <c r="IO16" s="14">
        <v>7.0356990299999973</v>
      </c>
      <c r="IP16" s="14">
        <v>6.2067152499999994</v>
      </c>
      <c r="IQ16" s="14">
        <v>5.6796716900000019</v>
      </c>
      <c r="IR16" s="14">
        <v>2.1566156099999994</v>
      </c>
      <c r="IS16" s="14">
        <v>4.335742709999999</v>
      </c>
      <c r="IT16" s="14">
        <v>7.2371162700000014</v>
      </c>
      <c r="IU16" s="14">
        <v>7.9219796499999893</v>
      </c>
      <c r="IV16" s="14">
        <v>5.1719999400000018</v>
      </c>
      <c r="IW16" s="14">
        <v>2.2166615100000002</v>
      </c>
      <c r="IX16" s="14">
        <v>2.9342627400000012</v>
      </c>
      <c r="IY16" s="14">
        <v>6.3424075399999964</v>
      </c>
      <c r="IZ16" s="14">
        <v>4.3499980400000009</v>
      </c>
      <c r="JA16" s="14">
        <v>6.5326568699999985</v>
      </c>
      <c r="JB16" s="14">
        <v>8.4183645000000062</v>
      </c>
      <c r="JC16" s="14">
        <v>6.0262826799999969</v>
      </c>
      <c r="JD16" s="14">
        <v>14.962509209999995</v>
      </c>
      <c r="JE16" s="14">
        <v>5.8321411499999964</v>
      </c>
      <c r="JF16" s="14">
        <v>2.01337769</v>
      </c>
      <c r="JG16" s="14">
        <v>2.9930961100000006</v>
      </c>
      <c r="JH16" s="14">
        <v>7.1667506400000018</v>
      </c>
      <c r="JI16" s="14">
        <v>13.584265489999995</v>
      </c>
      <c r="JJ16" s="14">
        <v>18.66878933000001</v>
      </c>
      <c r="JK16" s="14">
        <v>16.336169380000005</v>
      </c>
      <c r="JL16" s="14">
        <v>12.406100780000001</v>
      </c>
      <c r="JM16" s="14">
        <v>7.812436384657051</v>
      </c>
      <c r="JN16" s="14">
        <v>4.9055047950000006</v>
      </c>
      <c r="JO16" s="14">
        <v>6.8237220379999943</v>
      </c>
      <c r="JP16" s="14">
        <v>2.1691704865977379</v>
      </c>
      <c r="JQ16" s="14">
        <v>0.55756670896460858</v>
      </c>
      <c r="JR16" s="14">
        <v>0.61682226451083688</v>
      </c>
      <c r="JS16" s="14">
        <v>0.4811051269945365</v>
      </c>
      <c r="JT16" s="14">
        <v>2.7643978047090951</v>
      </c>
      <c r="JU16" s="14">
        <v>2.3250145212062949</v>
      </c>
      <c r="JV16" s="14">
        <v>18.044092408658717</v>
      </c>
      <c r="JW16" s="14">
        <v>15.431100159995061</v>
      </c>
      <c r="JX16" s="14">
        <v>3.339478667028096</v>
      </c>
      <c r="JY16" s="14">
        <v>5.6046557673687136</v>
      </c>
      <c r="JZ16" s="14">
        <v>6.4142936200305645</v>
      </c>
      <c r="KA16" s="14">
        <v>3.6006154160000001</v>
      </c>
      <c r="KB16" s="14">
        <v>1.823425452662955</v>
      </c>
      <c r="KC16" s="14">
        <v>1.6047827274070712</v>
      </c>
      <c r="KD16" s="14">
        <v>1.7886914720000004</v>
      </c>
      <c r="KE16" s="14">
        <v>3.1926650490000004</v>
      </c>
      <c r="KF16" s="14">
        <v>2.0017144569309218</v>
      </c>
      <c r="KG16" s="14">
        <v>9.093523588</v>
      </c>
      <c r="KH16" s="14">
        <v>12.297847000572048</v>
      </c>
      <c r="KI16" s="14">
        <v>18.760284447</v>
      </c>
      <c r="KJ16" s="14">
        <v>6.9523972980000002</v>
      </c>
      <c r="KK16" s="14">
        <v>9.4887261049999978</v>
      </c>
      <c r="KL16" s="14">
        <v>3.1119414000000001</v>
      </c>
      <c r="KM16" s="14">
        <v>2.6796083889999998</v>
      </c>
      <c r="KN16" s="14">
        <v>1.6620018589999999</v>
      </c>
      <c r="KO16" s="14">
        <v>2.2090191589999999</v>
      </c>
      <c r="KP16" s="14">
        <v>1.784573771</v>
      </c>
      <c r="KQ16" s="14">
        <v>1.9598302763157789</v>
      </c>
      <c r="KR16" s="14">
        <v>1.8724618822349894</v>
      </c>
      <c r="KS16" s="14">
        <v>9.6455277880000025</v>
      </c>
      <c r="KT16" s="14">
        <v>8.5799758889999982</v>
      </c>
      <c r="KU16" s="14">
        <v>14.236876704999986</v>
      </c>
      <c r="KV16" s="14">
        <v>4.497810815000002</v>
      </c>
      <c r="KW16" s="14">
        <v>0.39506678969496095</v>
      </c>
      <c r="KX16" s="14">
        <v>0.65418444732807812</v>
      </c>
      <c r="KY16" s="14">
        <v>1.1718968309999995</v>
      </c>
      <c r="KZ16" s="14">
        <v>1.0607864281518244</v>
      </c>
      <c r="LA16" s="14">
        <v>2.197941875000001</v>
      </c>
      <c r="LB16" s="14">
        <v>0.67367334899999998</v>
      </c>
      <c r="LC16" s="14">
        <v>0.49102396361799483</v>
      </c>
      <c r="LD16" s="14">
        <v>4.191478914562385</v>
      </c>
      <c r="LE16" s="14">
        <v>10.092743321362796</v>
      </c>
      <c r="LF16" s="14">
        <v>9.5616271430182032</v>
      </c>
      <c r="LG16" s="14">
        <v>7.4828145907541472</v>
      </c>
      <c r="LH16" s="14">
        <v>8.2441387679317089</v>
      </c>
      <c r="LI16" s="14">
        <v>2.0212105136133571</v>
      </c>
      <c r="LJ16" s="14">
        <v>3.6893590175835058</v>
      </c>
      <c r="LK16" s="14">
        <v>5.3579063417003683</v>
      </c>
      <c r="LL16" s="14">
        <v>1.4259629698111955</v>
      </c>
      <c r="LM16" s="14">
        <v>0.75384416480528593</v>
      </c>
      <c r="LN16" s="14">
        <v>0.90221146167234123</v>
      </c>
      <c r="LO16" s="14">
        <v>1.9033298199999993</v>
      </c>
      <c r="LP16" s="14">
        <v>14.315361670000001</v>
      </c>
      <c r="LQ16" s="14">
        <v>22.769198199999991</v>
      </c>
      <c r="LR16" s="14">
        <v>15.926766159999998</v>
      </c>
      <c r="LS16" s="14">
        <v>6.6729689400000041</v>
      </c>
      <c r="LT16" s="14">
        <v>2.7266466799999995</v>
      </c>
      <c r="LU16" s="149"/>
    </row>
    <row r="17" spans="1:333" x14ac:dyDescent="0.3">
      <c r="A17" s="2" t="s">
        <v>9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4">
        <v>0.60699999999999998</v>
      </c>
      <c r="AB17" s="14">
        <v>0.72699999999999998</v>
      </c>
      <c r="AC17" s="14">
        <v>0.57600000000000007</v>
      </c>
      <c r="AD17" s="14">
        <v>1.002</v>
      </c>
      <c r="AE17" s="14">
        <v>1.2050000000000001</v>
      </c>
      <c r="AF17" s="14">
        <v>1.3839999999999999</v>
      </c>
      <c r="AG17" s="14">
        <v>0.66</v>
      </c>
      <c r="AH17" s="14">
        <v>0.70100000000000007</v>
      </c>
      <c r="AI17" s="14">
        <v>1.2450000000000001</v>
      </c>
      <c r="AJ17" s="14">
        <v>1.28</v>
      </c>
      <c r="AK17" s="14">
        <v>0.58699999999999997</v>
      </c>
      <c r="AL17" s="14">
        <v>1.115</v>
      </c>
      <c r="AM17" s="14">
        <v>0.67100000000000004</v>
      </c>
      <c r="AN17" s="14">
        <v>1.0130000000000001</v>
      </c>
      <c r="AO17" s="14">
        <v>1.2989999999999999</v>
      </c>
      <c r="AP17" s="14">
        <v>1.9039999999999999</v>
      </c>
      <c r="AQ17" s="14">
        <v>1.8560000000000001</v>
      </c>
      <c r="AR17" s="14">
        <v>1.3140000000000001</v>
      </c>
      <c r="AS17" s="14">
        <v>1.226</v>
      </c>
      <c r="AT17" s="14">
        <v>1.0210000000000001</v>
      </c>
      <c r="AU17" s="14">
        <v>1.5349999999999999</v>
      </c>
      <c r="AV17" s="14">
        <v>1.0760000000000001</v>
      </c>
      <c r="AW17" s="14">
        <v>1.4419999999999999</v>
      </c>
      <c r="AX17" s="14">
        <v>2.6339999999999999</v>
      </c>
      <c r="AY17" s="14">
        <v>2.2759999999999998</v>
      </c>
      <c r="AZ17" s="14">
        <v>2.8807337</v>
      </c>
      <c r="BA17" s="14">
        <v>3.089</v>
      </c>
      <c r="BB17" s="14">
        <v>2.302</v>
      </c>
      <c r="BC17" s="14">
        <v>2.794</v>
      </c>
      <c r="BD17" s="14">
        <v>1.7869999999999999</v>
      </c>
      <c r="BE17" s="14">
        <v>2.9689999999999999</v>
      </c>
      <c r="BF17" s="14">
        <v>3.012</v>
      </c>
      <c r="BG17" s="14">
        <v>4.258</v>
      </c>
      <c r="BH17" s="14">
        <v>6.5819999999999999</v>
      </c>
      <c r="BI17" s="14">
        <v>3.5459999999999998</v>
      </c>
      <c r="BJ17" s="14">
        <v>2.0990000000000002</v>
      </c>
      <c r="BK17" s="14">
        <v>2.9860000000000002</v>
      </c>
      <c r="BL17" s="14">
        <v>2.9689999999999999</v>
      </c>
      <c r="BM17" s="14">
        <v>3.6579999999999999</v>
      </c>
      <c r="BN17" s="14">
        <v>2.9409999999999998</v>
      </c>
      <c r="BO17" s="14">
        <v>6.9669999999999996</v>
      </c>
      <c r="BP17" s="14">
        <v>3.044</v>
      </c>
      <c r="BQ17" s="14">
        <v>4.0119999999999996</v>
      </c>
      <c r="BR17" s="14">
        <v>1.341</v>
      </c>
      <c r="BS17" s="14">
        <v>1.349</v>
      </c>
      <c r="BT17" s="14">
        <v>1.4590000000000001</v>
      </c>
      <c r="BU17" s="14">
        <v>2.14</v>
      </c>
      <c r="BV17" s="14">
        <v>1.7589999999999999</v>
      </c>
      <c r="BW17" s="14">
        <v>1.9870000000000001</v>
      </c>
      <c r="BX17" s="14">
        <v>2.0449999999999999</v>
      </c>
      <c r="BY17" s="14">
        <v>2.4820000000000002</v>
      </c>
      <c r="BZ17" s="14">
        <v>2.939629</v>
      </c>
      <c r="CA17" s="14">
        <v>4.4185800000000004</v>
      </c>
      <c r="CB17" s="14">
        <v>4.1310000000000002</v>
      </c>
      <c r="CC17" s="14">
        <v>2.343</v>
      </c>
      <c r="CD17" s="14">
        <v>1.595</v>
      </c>
      <c r="CE17" s="14">
        <v>1.76</v>
      </c>
      <c r="CF17" s="14">
        <v>0.73599999999999999</v>
      </c>
      <c r="CG17" s="14">
        <v>1.7170000000000001</v>
      </c>
      <c r="CH17" s="14">
        <v>1.83</v>
      </c>
      <c r="CI17" s="14">
        <v>5.6280000000000001</v>
      </c>
      <c r="CJ17" s="14">
        <v>4.9269999999999996</v>
      </c>
      <c r="CK17" s="14">
        <v>2.9580000000000002</v>
      </c>
      <c r="CL17" s="14">
        <v>4.069</v>
      </c>
      <c r="CM17" s="14">
        <v>7.3019999999999996</v>
      </c>
      <c r="CN17" s="14">
        <v>5.26</v>
      </c>
      <c r="CO17" s="14">
        <v>4.4779999999999998</v>
      </c>
      <c r="CP17" s="14">
        <v>3.726</v>
      </c>
      <c r="CQ17" s="14">
        <v>4.5389999999999997</v>
      </c>
      <c r="CR17" s="14">
        <v>1.8859999999999999</v>
      </c>
      <c r="CS17" s="14">
        <v>2.0529999999999999</v>
      </c>
      <c r="CT17" s="14">
        <v>1.4590000000000001</v>
      </c>
      <c r="CU17" s="14">
        <v>1.544</v>
      </c>
      <c r="CV17" s="14">
        <v>0.45200000000000001</v>
      </c>
      <c r="CW17" s="14">
        <v>0.753</v>
      </c>
      <c r="CX17" s="14">
        <v>1.448</v>
      </c>
      <c r="CY17" s="14">
        <v>1.276</v>
      </c>
      <c r="CZ17" s="14">
        <v>1.43</v>
      </c>
      <c r="DA17" s="14">
        <v>1.97</v>
      </c>
      <c r="DB17" s="14">
        <v>1.56</v>
      </c>
      <c r="DC17" s="14">
        <v>1.91</v>
      </c>
      <c r="DD17" s="14">
        <v>2.21</v>
      </c>
      <c r="DE17" s="14">
        <v>1.99</v>
      </c>
      <c r="DF17" s="14">
        <v>2.1</v>
      </c>
      <c r="DG17" s="14">
        <v>2.048</v>
      </c>
      <c r="DH17" s="14">
        <v>2.2400000000000002</v>
      </c>
      <c r="DI17" s="14">
        <v>3.57</v>
      </c>
      <c r="DJ17" s="14">
        <v>3.41</v>
      </c>
      <c r="DK17" s="14">
        <v>4.0709999999999997</v>
      </c>
      <c r="DL17" s="14">
        <v>3.504</v>
      </c>
      <c r="DM17" s="14">
        <v>4.915</v>
      </c>
      <c r="DN17" s="14">
        <v>5.266</v>
      </c>
      <c r="DO17" s="14">
        <v>4.7450000000000001</v>
      </c>
      <c r="DP17" s="14">
        <v>6.399</v>
      </c>
      <c r="DQ17" s="14">
        <v>4.3520000000000003</v>
      </c>
      <c r="DR17" s="14">
        <v>5.5919999999999996</v>
      </c>
      <c r="DS17" s="14">
        <v>5.351</v>
      </c>
      <c r="DT17" s="14">
        <v>5.658881</v>
      </c>
      <c r="DU17" s="14">
        <v>6.7220000000000004</v>
      </c>
      <c r="DV17" s="14">
        <v>7.37</v>
      </c>
      <c r="DW17" s="14">
        <v>8.093</v>
      </c>
      <c r="DX17" s="14">
        <v>7.6879999999999997</v>
      </c>
      <c r="DY17" s="14">
        <v>7.6349999999999998</v>
      </c>
      <c r="DZ17" s="14">
        <v>6.07</v>
      </c>
      <c r="EA17" s="14">
        <v>6.8259999999999996</v>
      </c>
      <c r="EB17" s="14">
        <v>6.3230000000000004</v>
      </c>
      <c r="EC17" s="14">
        <v>7.4829999999999997</v>
      </c>
      <c r="ED17" s="14">
        <v>5.6280000000000001</v>
      </c>
      <c r="EE17" s="14">
        <v>5.98</v>
      </c>
      <c r="EF17" s="14">
        <v>6.665</v>
      </c>
      <c r="EG17" s="14">
        <v>7.1379999999999999</v>
      </c>
      <c r="EH17" s="14">
        <v>7.6769999999999996</v>
      </c>
      <c r="EI17" s="14">
        <v>6.7190000000000003</v>
      </c>
      <c r="EJ17" s="14">
        <v>5.6980000000000004</v>
      </c>
      <c r="EK17" s="14">
        <v>8.23</v>
      </c>
      <c r="EL17" s="14">
        <v>7.4880000000000004</v>
      </c>
      <c r="EM17" s="14">
        <v>6.69</v>
      </c>
      <c r="EN17" s="14">
        <v>6.94</v>
      </c>
      <c r="EO17" s="14">
        <v>8.1959999999999997</v>
      </c>
      <c r="EP17" s="14">
        <v>6.3620000000000001</v>
      </c>
      <c r="EQ17" s="14">
        <v>7.2729999999999997</v>
      </c>
      <c r="ER17" s="14">
        <v>5.6749999999999998</v>
      </c>
      <c r="ES17" s="14">
        <v>7.4530000000000003</v>
      </c>
      <c r="ET17" s="14">
        <v>7.2320000000000002</v>
      </c>
      <c r="EU17" s="14">
        <v>7.39</v>
      </c>
      <c r="EV17" s="14">
        <v>5.5659999999999998</v>
      </c>
      <c r="EW17" s="14">
        <v>9.26</v>
      </c>
      <c r="EX17" s="14">
        <v>8.1440000000000001</v>
      </c>
      <c r="EY17" s="14">
        <v>8.2509999999999994</v>
      </c>
      <c r="EZ17" s="14">
        <v>8.4350000000000005</v>
      </c>
      <c r="FA17" s="14">
        <v>7.9240000000000004</v>
      </c>
      <c r="FB17" s="14">
        <v>6.2119999999999997</v>
      </c>
      <c r="FC17" s="14">
        <v>6.9370000000000003</v>
      </c>
      <c r="FD17" s="14">
        <v>7.7439999999999998</v>
      </c>
      <c r="FE17" s="14">
        <v>9.0549999999999997</v>
      </c>
      <c r="FF17" s="14">
        <v>9.8079999999999998</v>
      </c>
      <c r="FG17" s="14">
        <v>9.3979999999999997</v>
      </c>
      <c r="FH17" s="14">
        <v>9.8770000000000007</v>
      </c>
      <c r="FI17" s="14">
        <v>10.816108124704208</v>
      </c>
      <c r="FJ17" s="14">
        <v>10.012697914425802</v>
      </c>
      <c r="FK17" s="14">
        <v>12.566214385347394</v>
      </c>
      <c r="FL17" s="14">
        <v>11.074278567906227</v>
      </c>
      <c r="FM17" s="14">
        <v>10.841523499465248</v>
      </c>
      <c r="FN17" s="14">
        <v>12.734275772578448</v>
      </c>
      <c r="FO17" s="14">
        <v>11.023518910341519</v>
      </c>
      <c r="FP17" s="14">
        <v>10.566717538237821</v>
      </c>
      <c r="FQ17" s="14">
        <v>10.481904833091184</v>
      </c>
      <c r="FR17" s="14">
        <v>13.201954214160297</v>
      </c>
      <c r="FS17" s="14">
        <v>13.778438896502355</v>
      </c>
      <c r="FT17" s="14">
        <v>12.526367343239523</v>
      </c>
      <c r="FU17" s="14">
        <v>10.936999999999999</v>
      </c>
      <c r="FV17" s="14">
        <v>10.391</v>
      </c>
      <c r="FW17" s="14">
        <v>13.74</v>
      </c>
      <c r="FX17" s="14">
        <v>14.582000000000001</v>
      </c>
      <c r="FY17" s="14">
        <v>14.151999999999999</v>
      </c>
      <c r="FZ17" s="14">
        <v>12.018000000000001</v>
      </c>
      <c r="GA17" s="14">
        <v>12.476000000000001</v>
      </c>
      <c r="GB17" s="14">
        <v>10.939</v>
      </c>
      <c r="GC17" s="14">
        <v>11.336</v>
      </c>
      <c r="GD17" s="14">
        <v>12.801</v>
      </c>
      <c r="GE17" s="14">
        <v>13.003</v>
      </c>
      <c r="GF17" s="14">
        <v>11.454000000000001</v>
      </c>
      <c r="GG17" s="14">
        <v>12.53</v>
      </c>
      <c r="GH17" s="14">
        <v>12.811999999999999</v>
      </c>
      <c r="GI17" s="14">
        <v>12.311</v>
      </c>
      <c r="GJ17" s="14">
        <v>9.8710000000000004</v>
      </c>
      <c r="GK17" s="14">
        <v>11.712</v>
      </c>
      <c r="GL17" s="14">
        <v>9.4220000000000006</v>
      </c>
      <c r="GM17" s="14">
        <v>10.006</v>
      </c>
      <c r="GN17" s="14">
        <v>9.6560000000000006</v>
      </c>
      <c r="GO17" s="14">
        <v>8.76</v>
      </c>
      <c r="GP17" s="14">
        <v>9.4670000000000005</v>
      </c>
      <c r="GQ17" s="14">
        <v>12.138999999999999</v>
      </c>
      <c r="GR17" s="14">
        <v>9.4250000000000007</v>
      </c>
      <c r="GS17" s="14">
        <v>9.8719999999999999</v>
      </c>
      <c r="GT17" s="14">
        <v>10.417999999999999</v>
      </c>
      <c r="GU17" s="14">
        <v>10.208</v>
      </c>
      <c r="GV17" s="14">
        <v>14.452</v>
      </c>
      <c r="GW17" s="14">
        <v>12.603999999999999</v>
      </c>
      <c r="GX17" s="14">
        <v>9.5820000000000007</v>
      </c>
      <c r="GY17" s="14">
        <v>10.576000000000001</v>
      </c>
      <c r="GZ17" s="14">
        <v>11.087</v>
      </c>
      <c r="HA17" s="14">
        <v>9.5459999999999994</v>
      </c>
      <c r="HB17" s="14">
        <v>12.327</v>
      </c>
      <c r="HC17" s="14">
        <v>12.180999999999999</v>
      </c>
      <c r="HD17" s="14">
        <v>8.2899999999999991</v>
      </c>
      <c r="HE17" s="14">
        <v>6.82</v>
      </c>
      <c r="HF17" s="14">
        <v>7.0789999999999997</v>
      </c>
      <c r="HG17" s="14">
        <v>9.5920000000000005</v>
      </c>
      <c r="HH17" s="14">
        <v>8.3930000000000007</v>
      </c>
      <c r="HI17" s="14">
        <v>7.359</v>
      </c>
      <c r="HJ17" s="14">
        <v>8.2170000000000005</v>
      </c>
      <c r="HK17" s="14">
        <v>10.595000000000001</v>
      </c>
      <c r="HL17" s="14">
        <v>9.0220000000000002</v>
      </c>
      <c r="HM17" s="14">
        <v>8.7420000000000009</v>
      </c>
      <c r="HN17" s="14">
        <v>11.81</v>
      </c>
      <c r="HO17" s="14">
        <v>14.031000000000001</v>
      </c>
      <c r="HP17" s="14">
        <v>11.365</v>
      </c>
      <c r="HQ17" s="14">
        <v>11.933</v>
      </c>
      <c r="HR17" s="14">
        <v>9.9359999999999999</v>
      </c>
      <c r="HS17" s="14">
        <v>12.662000000000001</v>
      </c>
      <c r="HT17" s="14">
        <v>11.542</v>
      </c>
      <c r="HU17" s="14">
        <v>9.9049999999999994</v>
      </c>
      <c r="HV17" s="14">
        <v>9.02</v>
      </c>
      <c r="HW17" s="14">
        <v>8.4359999999999999</v>
      </c>
      <c r="HX17" s="14">
        <v>11.36</v>
      </c>
      <c r="HY17" s="14">
        <v>9.83</v>
      </c>
      <c r="HZ17" s="14">
        <v>11.013999999999999</v>
      </c>
      <c r="IA17" s="14">
        <v>13.961</v>
      </c>
      <c r="IB17" s="14">
        <v>14.218999999999999</v>
      </c>
      <c r="IC17" s="14">
        <v>16.702000000000002</v>
      </c>
      <c r="ID17" s="14">
        <v>12.528009270000004</v>
      </c>
      <c r="IE17" s="14">
        <v>9.3681180000000008</v>
      </c>
      <c r="IF17" s="14">
        <v>10.413</v>
      </c>
      <c r="IG17" s="14">
        <v>13.213087</v>
      </c>
      <c r="IH17" s="14">
        <v>12.143012000000001</v>
      </c>
      <c r="II17" s="14">
        <v>9.4421975600000039</v>
      </c>
      <c r="IJ17" s="14">
        <v>9.6267721699999935</v>
      </c>
      <c r="IK17" s="14">
        <v>9.5692632099999937</v>
      </c>
      <c r="IL17" s="14">
        <v>11.237885939999998</v>
      </c>
      <c r="IM17" s="14">
        <v>12.322019720000002</v>
      </c>
      <c r="IN17" s="14">
        <v>15.902687880000004</v>
      </c>
      <c r="IO17" s="14">
        <v>12.456061049999992</v>
      </c>
      <c r="IP17" s="14">
        <v>12.493226919999996</v>
      </c>
      <c r="IQ17" s="14">
        <v>11.798437980000001</v>
      </c>
      <c r="IR17" s="14">
        <v>10.555957779999989</v>
      </c>
      <c r="IS17" s="14">
        <v>11.979050500000001</v>
      </c>
      <c r="IT17" s="14">
        <v>10.423087589999994</v>
      </c>
      <c r="IU17" s="14">
        <v>9.4020213300000091</v>
      </c>
      <c r="IV17" s="14">
        <v>8.1123126300000017</v>
      </c>
      <c r="IW17" s="14">
        <v>8.2770877799999987</v>
      </c>
      <c r="IX17" s="14">
        <v>9.4333780199999957</v>
      </c>
      <c r="IY17" s="14">
        <v>8.7638774599999998</v>
      </c>
      <c r="IZ17" s="14">
        <v>7.6076000799999974</v>
      </c>
      <c r="JA17" s="14">
        <v>8.7613459499999973</v>
      </c>
      <c r="JB17" s="14">
        <v>7.8658807099999972</v>
      </c>
      <c r="JC17" s="14">
        <v>9.2093392299999941</v>
      </c>
      <c r="JD17" s="14">
        <v>10.007843170000001</v>
      </c>
      <c r="JE17" s="14">
        <v>12.65492079</v>
      </c>
      <c r="JF17" s="14">
        <v>8.5136503300000008</v>
      </c>
      <c r="JG17" s="14">
        <v>8.2985081100000038</v>
      </c>
      <c r="JH17" s="14">
        <v>7.6217604799999998</v>
      </c>
      <c r="JI17" s="14">
        <v>7.5878026999999966</v>
      </c>
      <c r="JJ17" s="14">
        <v>8.720243009999999</v>
      </c>
      <c r="JK17" s="14">
        <v>9.3933211800000045</v>
      </c>
      <c r="JL17" s="14">
        <v>8.3524783700000018</v>
      </c>
      <c r="JM17" s="14">
        <v>10.659850289000007</v>
      </c>
      <c r="JN17" s="14">
        <v>11.545355995977276</v>
      </c>
      <c r="JO17" s="14">
        <v>9.7092136499999935</v>
      </c>
      <c r="JP17" s="14">
        <v>9.5046077569208975</v>
      </c>
      <c r="JQ17" s="14">
        <v>9.5187356807469765</v>
      </c>
      <c r="JR17" s="14">
        <v>9.2652064890411268</v>
      </c>
      <c r="JS17" s="14">
        <v>10.60298530190863</v>
      </c>
      <c r="JT17" s="14">
        <v>9.6896506325945477</v>
      </c>
      <c r="JU17" s="14">
        <v>12.162694012861897</v>
      </c>
      <c r="JV17" s="14">
        <v>14.671499507731566</v>
      </c>
      <c r="JW17" s="14">
        <v>13.640343984819904</v>
      </c>
      <c r="JX17" s="14">
        <v>13.114897993303456</v>
      </c>
      <c r="JY17" s="14">
        <v>12.854862983818791</v>
      </c>
      <c r="JZ17" s="14">
        <v>9.8594057338530146</v>
      </c>
      <c r="KA17" s="14">
        <v>9.8869060730000005</v>
      </c>
      <c r="KB17" s="14">
        <v>10.274604759767133</v>
      </c>
      <c r="KC17" s="14">
        <v>9.6638761806648681</v>
      </c>
      <c r="KD17" s="14">
        <v>10.39464905441241</v>
      </c>
      <c r="KE17" s="14">
        <v>9.388790221808387</v>
      </c>
      <c r="KF17" s="14">
        <v>7.9843291793101319</v>
      </c>
      <c r="KG17" s="14">
        <v>8.9953313999816444</v>
      </c>
      <c r="KH17" s="14">
        <v>8.232833071952502</v>
      </c>
      <c r="KI17" s="14">
        <v>9.4929005085845386</v>
      </c>
      <c r="KJ17" s="14">
        <v>10.531203216626801</v>
      </c>
      <c r="KK17" s="14">
        <v>13.782929355848173</v>
      </c>
      <c r="KL17" s="14">
        <v>9.3889159469999992</v>
      </c>
      <c r="KM17" s="14">
        <v>9.4493705495629428</v>
      </c>
      <c r="KN17" s="14">
        <v>10.11944332602026</v>
      </c>
      <c r="KO17" s="14">
        <v>9.0408210395514246</v>
      </c>
      <c r="KP17" s="14">
        <v>8.7384277000284634</v>
      </c>
      <c r="KQ17" s="14">
        <v>8.8566148687557842</v>
      </c>
      <c r="KR17" s="14">
        <v>8.3894094596392907</v>
      </c>
      <c r="KS17" s="14">
        <v>8.8226958515010772</v>
      </c>
      <c r="KT17" s="14">
        <v>9.6932605555878997</v>
      </c>
      <c r="KU17" s="14">
        <v>12.614621735550108</v>
      </c>
      <c r="KV17" s="14">
        <v>12.89976353355665</v>
      </c>
      <c r="KW17" s="14">
        <v>12.022041506573723</v>
      </c>
      <c r="KX17" s="14">
        <v>9.7980495612440226</v>
      </c>
      <c r="KY17" s="14">
        <v>12.562455686906167</v>
      </c>
      <c r="KZ17" s="14">
        <v>11.421967428202601</v>
      </c>
      <c r="LA17" s="14">
        <v>12.170670615464154</v>
      </c>
      <c r="LB17" s="14">
        <v>12.34713085971377</v>
      </c>
      <c r="LC17" s="14">
        <v>11.689986152650302</v>
      </c>
      <c r="LD17" s="14">
        <v>10.824294076720756</v>
      </c>
      <c r="LE17" s="14">
        <v>9.6887314098244186</v>
      </c>
      <c r="LF17" s="14">
        <v>11.909950088229918</v>
      </c>
      <c r="LG17" s="14">
        <v>11.520529100562049</v>
      </c>
      <c r="LH17" s="14">
        <v>11.11741360804357</v>
      </c>
      <c r="LI17" s="14">
        <v>12.463084070467582</v>
      </c>
      <c r="LJ17" s="14">
        <v>9.7437569245789692</v>
      </c>
      <c r="LK17" s="14">
        <v>12.696223841940695</v>
      </c>
      <c r="LL17" s="14">
        <v>12.643299856614991</v>
      </c>
      <c r="LM17" s="14">
        <v>15.925094473489805</v>
      </c>
      <c r="LN17" s="14">
        <v>16.088256560754353</v>
      </c>
      <c r="LO17" s="14">
        <v>14.854159140000005</v>
      </c>
      <c r="LP17" s="14">
        <v>14.621246079999995</v>
      </c>
      <c r="LQ17" s="14">
        <v>14.17810237</v>
      </c>
      <c r="LR17" s="14">
        <v>15.627135859999992</v>
      </c>
      <c r="LS17" s="14">
        <v>15.622941930000007</v>
      </c>
      <c r="LT17" s="14">
        <v>17.068636699999988</v>
      </c>
      <c r="LU17" s="149"/>
    </row>
    <row r="18" spans="1:333" x14ac:dyDescent="0.3">
      <c r="A18" s="2" t="s">
        <v>10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4">
        <v>0.621</v>
      </c>
      <c r="AB18" s="14">
        <v>0.65400000000000003</v>
      </c>
      <c r="AC18" s="14">
        <v>0.50600000000000001</v>
      </c>
      <c r="AD18" s="14">
        <v>0.28100000000000003</v>
      </c>
      <c r="AE18" s="14">
        <v>0.44900000000000001</v>
      </c>
      <c r="AF18" s="14">
        <v>0.63600000000000001</v>
      </c>
      <c r="AG18" s="14">
        <v>0.32100000000000001</v>
      </c>
      <c r="AH18" s="14">
        <v>0.69</v>
      </c>
      <c r="AI18" s="14">
        <v>0.60799999999999998</v>
      </c>
      <c r="AJ18" s="14">
        <v>0.70799999999999996</v>
      </c>
      <c r="AK18" s="14">
        <v>0.55500000000000005</v>
      </c>
      <c r="AL18" s="14">
        <v>0.70499999999999996</v>
      </c>
      <c r="AM18" s="14">
        <v>0.98799999999999999</v>
      </c>
      <c r="AN18" s="14">
        <v>1.19</v>
      </c>
      <c r="AO18" s="14">
        <v>0.57899999999999996</v>
      </c>
      <c r="AP18" s="14">
        <v>0.89800000000000002</v>
      </c>
      <c r="AQ18" s="14">
        <v>0.95800000000000007</v>
      </c>
      <c r="AR18" s="14">
        <v>0.873</v>
      </c>
      <c r="AS18" s="14">
        <v>0.99</v>
      </c>
      <c r="AT18" s="14">
        <v>1.2569999999999999</v>
      </c>
      <c r="AU18" s="14">
        <v>0.72399999999999998</v>
      </c>
      <c r="AV18" s="14">
        <v>0.61799999999999999</v>
      </c>
      <c r="AW18" s="14">
        <v>0.82300000000000006</v>
      </c>
      <c r="AX18" s="14">
        <v>0.51500000000000001</v>
      </c>
      <c r="AY18" s="14">
        <v>0.71799999999999997</v>
      </c>
      <c r="AZ18" s="14">
        <v>0.71099999999999997</v>
      </c>
      <c r="BA18" s="14">
        <v>0.61399999999999999</v>
      </c>
      <c r="BB18" s="14">
        <v>0.25700000000000001</v>
      </c>
      <c r="BC18" s="14">
        <v>0.55400000000000005</v>
      </c>
      <c r="BD18" s="14">
        <v>0.86199999999999999</v>
      </c>
      <c r="BE18" s="14">
        <v>0.33379999999999999</v>
      </c>
      <c r="BF18" s="14">
        <v>1.101</v>
      </c>
      <c r="BG18" s="14">
        <v>0.53500000000000003</v>
      </c>
      <c r="BH18" s="14">
        <v>1.5609999999999999</v>
      </c>
      <c r="BI18" s="14">
        <v>0.89600000000000002</v>
      </c>
      <c r="BJ18" s="14">
        <v>0.72099999999999997</v>
      </c>
      <c r="BK18" s="14">
        <v>0.28700000000000003</v>
      </c>
      <c r="BL18" s="14">
        <v>9.9000000000000005E-2</v>
      </c>
      <c r="BM18" s="14">
        <v>0.53800000000000003</v>
      </c>
      <c r="BN18" s="14">
        <v>0.51300000000000001</v>
      </c>
      <c r="BO18" s="14">
        <v>0.752</v>
      </c>
      <c r="BP18" s="14">
        <v>0.92100000000000004</v>
      </c>
      <c r="BQ18" s="14">
        <v>0.88</v>
      </c>
      <c r="BR18" s="14">
        <v>0.93900000000000006</v>
      </c>
      <c r="BS18" s="14">
        <v>0.70699999999999996</v>
      </c>
      <c r="BT18" s="14">
        <v>0.747</v>
      </c>
      <c r="BU18" s="14">
        <v>0.68200000000000005</v>
      </c>
      <c r="BV18" s="14">
        <v>0.77</v>
      </c>
      <c r="BW18" s="14">
        <v>0.41200000000000003</v>
      </c>
      <c r="BX18" s="14">
        <v>0.60199999999999998</v>
      </c>
      <c r="BY18" s="14">
        <v>0.84799999999999998</v>
      </c>
      <c r="BZ18" s="14">
        <v>0.98468699999999998</v>
      </c>
      <c r="CA18" s="14">
        <v>1.2416</v>
      </c>
      <c r="CB18" s="14">
        <v>0.80400000000000005</v>
      </c>
      <c r="CC18" s="14">
        <v>0.247</v>
      </c>
      <c r="CD18" s="14">
        <v>0.90200000000000002</v>
      </c>
      <c r="CE18" s="14">
        <v>0.69</v>
      </c>
      <c r="CF18" s="14">
        <v>0.317</v>
      </c>
      <c r="CG18" s="14">
        <v>0.47</v>
      </c>
      <c r="CH18" s="14">
        <v>0.316</v>
      </c>
      <c r="CI18" s="14">
        <v>1.4690000000000001</v>
      </c>
      <c r="CJ18" s="14">
        <v>0.32824399999999998</v>
      </c>
      <c r="CK18" s="14">
        <v>0.43990000000000001</v>
      </c>
      <c r="CL18" s="14">
        <v>0.55100000000000005</v>
      </c>
      <c r="CM18" s="14">
        <v>0.54700000000000004</v>
      </c>
      <c r="CN18" s="14">
        <v>0.89800000000000002</v>
      </c>
      <c r="CO18" s="14">
        <v>0.39200000000000002</v>
      </c>
      <c r="CP18" s="14">
        <v>0.61499999999999999</v>
      </c>
      <c r="CQ18" s="14">
        <v>0.58899999999999997</v>
      </c>
      <c r="CR18" s="14">
        <v>0.54</v>
      </c>
      <c r="CS18" s="14">
        <v>0.44</v>
      </c>
      <c r="CT18" s="14">
        <v>0.41799999999999998</v>
      </c>
      <c r="CU18" s="14">
        <v>0.38300000000000001</v>
      </c>
      <c r="CV18" s="14">
        <v>0.112</v>
      </c>
      <c r="CW18" s="14">
        <v>9.6000000000000002E-2</v>
      </c>
      <c r="CX18" s="14">
        <v>8.4000000000000005E-2</v>
      </c>
      <c r="CY18" s="14">
        <v>0.13100000000000001</v>
      </c>
      <c r="CZ18" s="14">
        <v>0.46200000000000002</v>
      </c>
      <c r="DA18" s="14">
        <v>0.84599999999999997</v>
      </c>
      <c r="DB18" s="14">
        <v>0.61</v>
      </c>
      <c r="DC18" s="14">
        <v>0.87</v>
      </c>
      <c r="DD18" s="14">
        <v>0.67700000000000005</v>
      </c>
      <c r="DE18" s="14">
        <v>0.93800000000000006</v>
      </c>
      <c r="DF18" s="14">
        <v>0.93800000000000006</v>
      </c>
      <c r="DG18" s="14">
        <v>1.37</v>
      </c>
      <c r="DH18" s="14">
        <v>0.9</v>
      </c>
      <c r="DI18" s="14">
        <v>1.7849999999999999</v>
      </c>
      <c r="DJ18" s="14">
        <v>0.80900000000000005</v>
      </c>
      <c r="DK18" s="14">
        <v>2.738</v>
      </c>
      <c r="DL18" s="14">
        <v>1.1259999999999999</v>
      </c>
      <c r="DM18" s="14">
        <v>3.9249999999999998</v>
      </c>
      <c r="DN18" s="14">
        <v>1.6759999999999999</v>
      </c>
      <c r="DO18" s="14">
        <v>1.752</v>
      </c>
      <c r="DP18" s="14">
        <v>1.534</v>
      </c>
      <c r="DQ18" s="14">
        <v>2.0880000000000001</v>
      </c>
      <c r="DR18" s="14">
        <v>2.9969999999999999</v>
      </c>
      <c r="DS18" s="14">
        <v>1.2529999999999999</v>
      </c>
      <c r="DT18" s="14">
        <v>2.6339999999999999</v>
      </c>
      <c r="DU18" s="14">
        <v>2.8029999999999999</v>
      </c>
      <c r="DV18" s="14">
        <v>2.6219999999999999</v>
      </c>
      <c r="DW18" s="14">
        <v>1.296</v>
      </c>
      <c r="DX18" s="14">
        <v>1.3640000000000001</v>
      </c>
      <c r="DY18" s="14">
        <v>2.4049999999999998</v>
      </c>
      <c r="DZ18" s="14">
        <v>0.99</v>
      </c>
      <c r="EA18" s="14">
        <v>0.97799999999999998</v>
      </c>
      <c r="EB18" s="14">
        <v>0.83399999999999996</v>
      </c>
      <c r="EC18" s="14">
        <v>1.0009999999999999</v>
      </c>
      <c r="ED18" s="14">
        <v>1.4690000000000001</v>
      </c>
      <c r="EE18" s="14">
        <v>0.59</v>
      </c>
      <c r="EF18" s="14">
        <v>0.152</v>
      </c>
      <c r="EG18" s="14">
        <v>0.191</v>
      </c>
      <c r="EH18" s="14">
        <v>0.41599999999999998</v>
      </c>
      <c r="EI18" s="14">
        <v>0.50700000000000001</v>
      </c>
      <c r="EJ18" s="14">
        <v>0.42599999999999999</v>
      </c>
      <c r="EK18" s="14">
        <v>0.439</v>
      </c>
      <c r="EL18" s="14">
        <v>0.214</v>
      </c>
      <c r="EM18" s="14">
        <v>0.21</v>
      </c>
      <c r="EN18" s="14">
        <v>0.313</v>
      </c>
      <c r="EO18" s="14">
        <v>0.41199999999999998</v>
      </c>
      <c r="EP18" s="14">
        <v>0.312</v>
      </c>
      <c r="EQ18" s="14">
        <v>0.88500000000000001</v>
      </c>
      <c r="ER18" s="14">
        <v>0.315</v>
      </c>
      <c r="ES18" s="14">
        <v>0.66500000000000004</v>
      </c>
      <c r="ET18" s="14">
        <v>0.51400000000000001</v>
      </c>
      <c r="EU18" s="14">
        <v>0.33600000000000002</v>
      </c>
      <c r="EV18" s="14">
        <v>0.375</v>
      </c>
      <c r="EW18" s="14">
        <v>0.68400000000000005</v>
      </c>
      <c r="EX18" s="14">
        <v>0.46400000000000002</v>
      </c>
      <c r="EY18" s="14">
        <v>0.33400000000000002</v>
      </c>
      <c r="EZ18" s="14">
        <v>0.52900000000000003</v>
      </c>
      <c r="FA18" s="14">
        <v>0.37</v>
      </c>
      <c r="FB18" s="14">
        <v>0.38900000000000001</v>
      </c>
      <c r="FC18" s="14">
        <v>0.38100000000000001</v>
      </c>
      <c r="FD18" s="14">
        <v>0.53500000000000003</v>
      </c>
      <c r="FE18" s="14">
        <v>0.42699999999999999</v>
      </c>
      <c r="FF18" s="14">
        <v>0.318</v>
      </c>
      <c r="FG18" s="14">
        <v>0.496</v>
      </c>
      <c r="FH18" s="14">
        <v>0.42899999999999999</v>
      </c>
      <c r="FI18" s="14">
        <v>0.72836951610691358</v>
      </c>
      <c r="FJ18" s="14">
        <v>0.42305334424586893</v>
      </c>
      <c r="FK18" s="14">
        <v>0.37924298639735149</v>
      </c>
      <c r="FL18" s="14">
        <v>0.95445078798464422</v>
      </c>
      <c r="FM18" s="14">
        <v>0.61359815652455874</v>
      </c>
      <c r="FN18" s="14">
        <v>0.84569259387403461</v>
      </c>
      <c r="FO18" s="14">
        <v>0.62827799725124711</v>
      </c>
      <c r="FP18" s="14">
        <v>0.8657881739895269</v>
      </c>
      <c r="FQ18" s="14">
        <v>0.46736999538501461</v>
      </c>
      <c r="FR18" s="14">
        <v>0.43849262490849955</v>
      </c>
      <c r="FS18" s="14">
        <v>0.46556865715099005</v>
      </c>
      <c r="FT18" s="14">
        <v>0.44037390418841277</v>
      </c>
      <c r="FU18" s="14">
        <v>0.80400000000000005</v>
      </c>
      <c r="FV18" s="14">
        <v>0.46300000000000002</v>
      </c>
      <c r="FW18" s="14">
        <v>0.58699999999999997</v>
      </c>
      <c r="FX18" s="14">
        <v>0.76</v>
      </c>
      <c r="FY18" s="14">
        <v>0.64600000000000002</v>
      </c>
      <c r="FZ18" s="14">
        <v>0.71299999999999997</v>
      </c>
      <c r="GA18" s="14">
        <v>0.54300000000000004</v>
      </c>
      <c r="GB18" s="14">
        <v>0.61799999999999999</v>
      </c>
      <c r="GC18" s="14">
        <v>0.80300000000000005</v>
      </c>
      <c r="GD18" s="14">
        <v>0.54100000000000004</v>
      </c>
      <c r="GE18" s="14">
        <v>0.84099999999999997</v>
      </c>
      <c r="GF18" s="14">
        <v>0.80500000000000005</v>
      </c>
      <c r="GG18" s="14">
        <v>2.335</v>
      </c>
      <c r="GH18" s="14">
        <v>0.72799999999999998</v>
      </c>
      <c r="GI18" s="14">
        <v>1.264</v>
      </c>
      <c r="GJ18" s="14">
        <v>2.2130000000000001</v>
      </c>
      <c r="GK18" s="14">
        <v>1.9179999999999999</v>
      </c>
      <c r="GL18" s="14">
        <v>2.085</v>
      </c>
      <c r="GM18" s="14">
        <v>0.59976352667620558</v>
      </c>
      <c r="GN18" s="14">
        <v>1.194</v>
      </c>
      <c r="GO18" s="14">
        <v>0.61099999999999999</v>
      </c>
      <c r="GP18" s="14">
        <v>1.393</v>
      </c>
      <c r="GQ18" s="14">
        <v>1.514</v>
      </c>
      <c r="GR18" s="14">
        <v>0.78800000000000003</v>
      </c>
      <c r="GS18" s="14">
        <v>1.4510000000000001</v>
      </c>
      <c r="GT18" s="14">
        <v>1.397</v>
      </c>
      <c r="GU18" s="14">
        <v>1.647</v>
      </c>
      <c r="GV18" s="14">
        <v>0.96799999999999997</v>
      </c>
      <c r="GW18" s="14">
        <v>1.284</v>
      </c>
      <c r="GX18" s="14">
        <v>0.98199999999999998</v>
      </c>
      <c r="GY18" s="14">
        <v>1.345</v>
      </c>
      <c r="GZ18" s="14">
        <v>1.272</v>
      </c>
      <c r="HA18" s="14">
        <v>0.96399999999999997</v>
      </c>
      <c r="HB18" s="14">
        <v>0.90100000000000002</v>
      </c>
      <c r="HC18" s="14">
        <v>0.36399999999999999</v>
      </c>
      <c r="HD18" s="14">
        <v>0.432</v>
      </c>
      <c r="HE18" s="14">
        <v>0.46400000000000002</v>
      </c>
      <c r="HF18" s="14">
        <v>0.47599999999999998</v>
      </c>
      <c r="HG18" s="14">
        <v>0.78800000000000003</v>
      </c>
      <c r="HH18" s="14">
        <v>0.59599999999999997</v>
      </c>
      <c r="HI18" s="14">
        <v>0.40600000000000003</v>
      </c>
      <c r="HJ18" s="14">
        <v>0.36399999999999999</v>
      </c>
      <c r="HK18" s="14">
        <v>0.36199999999999999</v>
      </c>
      <c r="HL18" s="14">
        <v>0.36899999999999999</v>
      </c>
      <c r="HM18" s="14">
        <v>0.45500000000000002</v>
      </c>
      <c r="HN18" s="14">
        <v>0.58099999999999996</v>
      </c>
      <c r="HO18" s="14">
        <v>0.54400000000000004</v>
      </c>
      <c r="HP18" s="14">
        <v>0.76500000000000001</v>
      </c>
      <c r="HQ18" s="14">
        <v>1.032</v>
      </c>
      <c r="HR18" s="14">
        <v>1.113</v>
      </c>
      <c r="HS18" s="14">
        <v>1.34</v>
      </c>
      <c r="HT18" s="14">
        <v>1.506</v>
      </c>
      <c r="HU18" s="14">
        <v>1.5669999999999999</v>
      </c>
      <c r="HV18" s="14">
        <v>1.645</v>
      </c>
      <c r="HW18" s="14">
        <v>0.99199999999999999</v>
      </c>
      <c r="HX18" s="14">
        <v>0.94799999999999995</v>
      </c>
      <c r="HY18" s="14">
        <v>1.2270000000000001</v>
      </c>
      <c r="HZ18" s="14">
        <v>1.2090000000000001</v>
      </c>
      <c r="IA18" s="14">
        <v>0.84299999999999997</v>
      </c>
      <c r="IB18" s="14">
        <v>3.7229999999999999</v>
      </c>
      <c r="IC18" s="14">
        <v>2.0870000000000002</v>
      </c>
      <c r="ID18" s="14">
        <v>2.8639999999999999</v>
      </c>
      <c r="IE18" s="14">
        <v>3.2522449999999998</v>
      </c>
      <c r="IF18" s="14">
        <v>3.0569999999999999</v>
      </c>
      <c r="IG18" s="14">
        <v>2.589871</v>
      </c>
      <c r="IH18" s="14">
        <v>3.003501</v>
      </c>
      <c r="II18" s="14">
        <v>2.1187049999999998</v>
      </c>
      <c r="IJ18" s="14">
        <v>1.9151998699999997</v>
      </c>
      <c r="IK18" s="14">
        <v>2.5673179900000003</v>
      </c>
      <c r="IL18" s="14">
        <v>3.8286403600000014</v>
      </c>
      <c r="IM18" s="14">
        <v>3.2294516599999996</v>
      </c>
      <c r="IN18" s="14">
        <v>2.5418382200000003</v>
      </c>
      <c r="IO18" s="14">
        <v>2.5492471800000005</v>
      </c>
      <c r="IP18" s="14">
        <v>3.4530659400000001</v>
      </c>
      <c r="IQ18" s="14">
        <v>3.9795304700000012</v>
      </c>
      <c r="IR18" s="14">
        <v>3.6035123999999992</v>
      </c>
      <c r="IS18" s="14">
        <v>4.919972529999999</v>
      </c>
      <c r="IT18" s="14">
        <v>4.3004445600000007</v>
      </c>
      <c r="IU18" s="14">
        <v>3.2271436700000016</v>
      </c>
      <c r="IV18" s="14">
        <v>3.17344363</v>
      </c>
      <c r="IW18" s="14">
        <v>3.9454805000000004</v>
      </c>
      <c r="IX18" s="14">
        <v>4.047862180000001</v>
      </c>
      <c r="IY18" s="14">
        <v>3.2337233799999998</v>
      </c>
      <c r="IZ18" s="14">
        <v>0.97426086000000012</v>
      </c>
      <c r="JA18" s="14">
        <v>4.3063315599999994</v>
      </c>
      <c r="JB18" s="14">
        <v>4.6516412899999988</v>
      </c>
      <c r="JC18" s="14">
        <v>4.2713946900000028</v>
      </c>
      <c r="JD18" s="14">
        <v>5.9242730199999984</v>
      </c>
      <c r="JE18" s="14">
        <v>5.6629788999999926</v>
      </c>
      <c r="JF18" s="14">
        <v>3.6583971200000005</v>
      </c>
      <c r="JG18" s="14">
        <v>6.2785983300000012</v>
      </c>
      <c r="JH18" s="14">
        <v>6.0095052699999991</v>
      </c>
      <c r="JI18" s="14">
        <v>5.8718481900000006</v>
      </c>
      <c r="JJ18" s="14">
        <v>6.0096561300000007</v>
      </c>
      <c r="JK18" s="14">
        <v>6.0046693399999995</v>
      </c>
      <c r="JL18" s="14">
        <v>5.0991615900000005</v>
      </c>
      <c r="JM18" s="14">
        <v>8.1395392879999964</v>
      </c>
      <c r="JN18" s="14">
        <v>6.2994573639999984</v>
      </c>
      <c r="JO18" s="14">
        <v>7.5929055400000021</v>
      </c>
      <c r="JP18" s="14">
        <v>6.0181838850000009</v>
      </c>
      <c r="JQ18" s="14">
        <v>6.2660770913089969</v>
      </c>
      <c r="JR18" s="14">
        <v>5.2336494925059309</v>
      </c>
      <c r="JS18" s="14">
        <v>4.1957663169999986</v>
      </c>
      <c r="JT18" s="14">
        <v>4.7590431680000007</v>
      </c>
      <c r="JU18" s="14">
        <v>7.5501198609999998</v>
      </c>
      <c r="JV18" s="14">
        <v>6.2620009769999996</v>
      </c>
      <c r="JW18" s="14">
        <v>5.9263598270000024</v>
      </c>
      <c r="JX18" s="14">
        <v>5.1002532359999995</v>
      </c>
      <c r="JY18" s="14">
        <v>5.0317438559999994</v>
      </c>
      <c r="JZ18" s="14">
        <v>6.1732724670000056</v>
      </c>
      <c r="KA18" s="14">
        <v>6.9408313869999994</v>
      </c>
      <c r="KB18" s="14">
        <v>5.1308418310000006</v>
      </c>
      <c r="KC18" s="14">
        <v>5.4740121329999978</v>
      </c>
      <c r="KD18" s="14">
        <v>5.0271468049999992</v>
      </c>
      <c r="KE18" s="14">
        <v>3.9080525109999997</v>
      </c>
      <c r="KF18" s="14">
        <v>5.6340822559999992</v>
      </c>
      <c r="KG18" s="14">
        <v>4.4898616399999991</v>
      </c>
      <c r="KH18" s="14">
        <v>4.8380765466334248</v>
      </c>
      <c r="KI18" s="14">
        <v>4.6658021440000006</v>
      </c>
      <c r="KJ18" s="14">
        <v>5.3934751159217038</v>
      </c>
      <c r="KK18" s="14">
        <v>5.7646713669999992</v>
      </c>
      <c r="KL18" s="14">
        <v>4.0467067070000002</v>
      </c>
      <c r="KM18" s="14">
        <v>5.4799793221884068</v>
      </c>
      <c r="KN18" s="14">
        <v>4.0070104190000011</v>
      </c>
      <c r="KO18" s="14">
        <v>4.0158772880000013</v>
      </c>
      <c r="KP18" s="14">
        <v>3.7624800126324049</v>
      </c>
      <c r="KQ18" s="14">
        <v>4.1312696568591916</v>
      </c>
      <c r="KR18" s="14">
        <v>3.4365785680000007</v>
      </c>
      <c r="KS18" s="14">
        <v>4.5139792649976398</v>
      </c>
      <c r="KT18" s="14">
        <v>3.9844007126277794</v>
      </c>
      <c r="KU18" s="14">
        <v>4.7908581097360772</v>
      </c>
      <c r="KV18" s="14">
        <v>3.7214860199999995</v>
      </c>
      <c r="KW18" s="14">
        <v>3.7586739800000011</v>
      </c>
      <c r="KX18" s="14">
        <v>4.6323807859984845</v>
      </c>
      <c r="KY18" s="14">
        <v>3.3632376550000007</v>
      </c>
      <c r="KZ18" s="14">
        <v>5.0702112070000007</v>
      </c>
      <c r="LA18" s="14">
        <v>5.3735537370000008</v>
      </c>
      <c r="LB18" s="14">
        <v>4.1603293770000001</v>
      </c>
      <c r="LC18" s="14">
        <v>3.9607032443951868</v>
      </c>
      <c r="LD18" s="14">
        <v>3.5036480591014341</v>
      </c>
      <c r="LE18" s="14">
        <v>5.2229426608682603</v>
      </c>
      <c r="LF18" s="14">
        <v>4.6024243958028785</v>
      </c>
      <c r="LG18" s="14">
        <v>5.0683082420949548</v>
      </c>
      <c r="LH18" s="14">
        <v>4.4986547335557425</v>
      </c>
      <c r="LI18" s="14">
        <v>5.6111300520339125</v>
      </c>
      <c r="LJ18" s="14">
        <v>4.4563091129650703</v>
      </c>
      <c r="LK18" s="14">
        <v>6.7502119995540895</v>
      </c>
      <c r="LL18" s="14">
        <v>4.301767242389082</v>
      </c>
      <c r="LM18" s="14">
        <v>3.5082162968982282</v>
      </c>
      <c r="LN18" s="14">
        <v>3.1559739228382222</v>
      </c>
      <c r="LO18" s="14">
        <v>2.8704385000000006</v>
      </c>
      <c r="LP18" s="14">
        <v>3.5223941999999999</v>
      </c>
      <c r="LQ18" s="14">
        <v>3.50657306</v>
      </c>
      <c r="LR18" s="14">
        <v>3.3426268899999996</v>
      </c>
      <c r="LS18" s="14">
        <v>3.0501043700000015</v>
      </c>
      <c r="LT18" s="14">
        <v>2.1826587700000002</v>
      </c>
      <c r="LU18" s="149"/>
    </row>
    <row r="19" spans="1:333" x14ac:dyDescent="0.3">
      <c r="A19" s="2" t="s">
        <v>11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4">
        <v>0.17300000000000001</v>
      </c>
      <c r="AB19" s="14">
        <v>0.10100000000000001</v>
      </c>
      <c r="AC19" s="14">
        <v>0.11</v>
      </c>
      <c r="AD19" s="14">
        <v>6.2E-2</v>
      </c>
      <c r="AE19" s="14">
        <v>2.2000000000000002E-2</v>
      </c>
      <c r="AF19" s="14">
        <v>5.0000000000000001E-3</v>
      </c>
      <c r="AG19" s="14">
        <v>0.15</v>
      </c>
      <c r="AH19" s="14">
        <v>0.17</v>
      </c>
      <c r="AI19" s="14">
        <v>0.19400000000000001</v>
      </c>
      <c r="AJ19" s="14">
        <v>0.26500000000000001</v>
      </c>
      <c r="AK19" s="14">
        <v>8.4000000000000005E-2</v>
      </c>
      <c r="AL19" s="14">
        <v>9.2999999999999999E-2</v>
      </c>
      <c r="AM19" s="14">
        <v>0</v>
      </c>
      <c r="AN19" s="14">
        <v>0</v>
      </c>
      <c r="AO19" s="14">
        <v>0</v>
      </c>
      <c r="AP19" s="14">
        <v>5.5E-2</v>
      </c>
      <c r="AQ19" s="14">
        <v>0.109</v>
      </c>
      <c r="AR19" s="14">
        <v>1.8000000000000002E-2</v>
      </c>
      <c r="AS19" s="14">
        <v>0.82300000000000006</v>
      </c>
      <c r="AT19" s="14">
        <v>1.389</v>
      </c>
      <c r="AU19" s="14">
        <v>2.097</v>
      </c>
      <c r="AV19" s="14">
        <v>0.89</v>
      </c>
      <c r="AW19" s="14">
        <v>0.41699999999999998</v>
      </c>
      <c r="AX19" s="14">
        <v>7.2999999999999995E-2</v>
      </c>
      <c r="AY19" s="14">
        <v>0.23</v>
      </c>
      <c r="AZ19" s="14">
        <v>7.1000000000000008E-2</v>
      </c>
      <c r="BA19" s="14">
        <v>0.26800000000000002</v>
      </c>
      <c r="BB19" s="14">
        <v>2.6000000000000002E-2</v>
      </c>
      <c r="BC19" s="14">
        <v>6.6000000000000003E-2</v>
      </c>
      <c r="BD19" s="14">
        <v>9.2999999999999999E-2</v>
      </c>
      <c r="BE19" s="14">
        <v>1.0369999999999999</v>
      </c>
      <c r="BF19" s="14">
        <v>2.8210000000000002</v>
      </c>
      <c r="BG19" s="14">
        <v>2.0699999999999998</v>
      </c>
      <c r="BH19" s="14">
        <v>2.0009999999999999</v>
      </c>
      <c r="BI19" s="14">
        <v>0.42</v>
      </c>
      <c r="BJ19" s="14">
        <v>0.60699999999999998</v>
      </c>
      <c r="BK19" s="14">
        <v>6.1000000000000006E-2</v>
      </c>
      <c r="BL19" s="14">
        <v>8.2000000000000003E-2</v>
      </c>
      <c r="BM19" s="14">
        <v>0.17200000000000001</v>
      </c>
      <c r="BN19" s="14">
        <v>4.9000000000000002E-2</v>
      </c>
      <c r="BO19" s="14">
        <v>0.01</v>
      </c>
      <c r="BP19" s="14">
        <v>9.0000000000000011E-3</v>
      </c>
      <c r="BQ19" s="14">
        <v>0</v>
      </c>
      <c r="BR19" s="14">
        <v>1.8000000000000002E-2</v>
      </c>
      <c r="BS19" s="14">
        <v>0.124</v>
      </c>
      <c r="BT19" s="14">
        <v>0.16</v>
      </c>
      <c r="BU19" s="14">
        <v>0.14699999999999999</v>
      </c>
      <c r="BV19" s="14">
        <v>0.151</v>
      </c>
      <c r="BW19" s="14">
        <v>2.8000000000000001E-2</v>
      </c>
      <c r="BX19" s="14">
        <v>0</v>
      </c>
      <c r="BY19" s="14">
        <v>0</v>
      </c>
      <c r="BZ19" s="14">
        <v>0</v>
      </c>
      <c r="CA19" s="14">
        <v>0</v>
      </c>
      <c r="CB19" s="14">
        <v>0</v>
      </c>
      <c r="CC19" s="14">
        <v>0</v>
      </c>
      <c r="CD19" s="14">
        <v>0</v>
      </c>
      <c r="CE19" s="14">
        <v>0</v>
      </c>
      <c r="CF19" s="14">
        <v>7.0000000000000001E-3</v>
      </c>
      <c r="CG19" s="14">
        <v>0</v>
      </c>
      <c r="CH19" s="14">
        <v>3.0000000000000001E-3</v>
      </c>
      <c r="CI19" s="14">
        <v>0.14699999999999999</v>
      </c>
      <c r="CJ19" s="14">
        <v>0</v>
      </c>
      <c r="CK19" s="14">
        <v>0</v>
      </c>
      <c r="CL19" s="14">
        <v>0</v>
      </c>
      <c r="CM19" s="14">
        <v>0</v>
      </c>
      <c r="CN19" s="14">
        <v>0</v>
      </c>
      <c r="CO19" s="14">
        <v>0</v>
      </c>
      <c r="CP19" s="14">
        <v>9.5000000000000001E-2</v>
      </c>
      <c r="CQ19" s="14">
        <v>0.70100000000000007</v>
      </c>
      <c r="CR19" s="14">
        <v>0.29299999999999998</v>
      </c>
      <c r="CS19" s="14">
        <v>7.9000000000000001E-2</v>
      </c>
      <c r="CT19" s="14">
        <v>0.17400000000000002</v>
      </c>
      <c r="CU19" s="14">
        <v>7.1000000000000008E-2</v>
      </c>
      <c r="CV19" s="14">
        <v>0</v>
      </c>
      <c r="CW19" s="14">
        <v>0</v>
      </c>
      <c r="CX19" s="14">
        <v>0</v>
      </c>
      <c r="CY19" s="14">
        <v>0</v>
      </c>
      <c r="CZ19" s="14">
        <v>0</v>
      </c>
      <c r="DA19" s="14">
        <v>4.9000000000000002E-2</v>
      </c>
      <c r="DB19" s="14">
        <v>0.215</v>
      </c>
      <c r="DC19" s="14">
        <v>0.317</v>
      </c>
      <c r="DD19" s="14">
        <v>4.7E-2</v>
      </c>
      <c r="DE19" s="14">
        <v>8.7999999999999995E-2</v>
      </c>
      <c r="DF19" s="14">
        <v>3.7999999999999999E-2</v>
      </c>
      <c r="DG19" s="14">
        <v>0</v>
      </c>
      <c r="DH19" s="14">
        <v>8.0000000000000002E-3</v>
      </c>
      <c r="DI19" s="14">
        <v>1.1000000000000001E-2</v>
      </c>
      <c r="DJ19" s="14">
        <v>1.6E-2</v>
      </c>
      <c r="DK19" s="14">
        <v>0</v>
      </c>
      <c r="DL19" s="14">
        <v>0</v>
      </c>
      <c r="DM19" s="14">
        <v>3.5999999999999997E-2</v>
      </c>
      <c r="DN19" s="14">
        <v>0</v>
      </c>
      <c r="DO19" s="14">
        <v>0.14399999999999999</v>
      </c>
      <c r="DP19" s="14">
        <v>0.20100000000000001</v>
      </c>
      <c r="DQ19" s="14">
        <v>0.13300000000000001</v>
      </c>
      <c r="DR19" s="14">
        <v>0.108</v>
      </c>
      <c r="DS19" s="14">
        <v>4.5999999999999999E-2</v>
      </c>
      <c r="DT19" s="14">
        <v>0.02</v>
      </c>
      <c r="DU19" s="14">
        <v>7.9000000000000001E-2</v>
      </c>
      <c r="DV19" s="14">
        <v>5.0000000000000001E-3</v>
      </c>
      <c r="DW19" s="14">
        <v>2.3E-2</v>
      </c>
      <c r="DX19" s="14">
        <v>0</v>
      </c>
      <c r="DY19" s="14">
        <v>0.03</v>
      </c>
      <c r="DZ19" s="14">
        <v>0</v>
      </c>
      <c r="EA19" s="14">
        <v>0</v>
      </c>
      <c r="EB19" s="14">
        <v>2.1999999999999999E-2</v>
      </c>
      <c r="EC19" s="14">
        <v>9.6000000000000002E-2</v>
      </c>
      <c r="ED19" s="14">
        <v>0.14699999999999999</v>
      </c>
      <c r="EE19" s="14">
        <v>7.1999999999999995E-2</v>
      </c>
      <c r="EF19" s="14">
        <v>6.0000000000000001E-3</v>
      </c>
      <c r="EG19" s="14">
        <v>8.4000000000000005E-2</v>
      </c>
      <c r="EH19" s="14">
        <v>8.9999999999999993E-3</v>
      </c>
      <c r="EI19" s="14">
        <v>2.5000000000000001E-2</v>
      </c>
      <c r="EJ19" s="14">
        <v>1.7999999999999999E-2</v>
      </c>
      <c r="EK19" s="14">
        <v>3.7999999999999999E-2</v>
      </c>
      <c r="EL19" s="14">
        <v>0.14599999999999999</v>
      </c>
      <c r="EM19" s="14">
        <v>0.191</v>
      </c>
      <c r="EN19" s="14">
        <v>0.30199999999999999</v>
      </c>
      <c r="EO19" s="14">
        <v>0.54900000000000004</v>
      </c>
      <c r="EP19" s="14">
        <v>0.11</v>
      </c>
      <c r="EQ19" s="14">
        <v>0.47499999999999998</v>
      </c>
      <c r="ER19" s="14">
        <v>0.18</v>
      </c>
      <c r="ES19" s="14">
        <v>2.1999999999999999E-2</v>
      </c>
      <c r="ET19" s="14">
        <v>0</v>
      </c>
      <c r="EU19" s="14">
        <v>0.159</v>
      </c>
      <c r="EV19" s="14">
        <v>1.0999999999999999E-2</v>
      </c>
      <c r="EW19" s="14">
        <v>0.22700000000000001</v>
      </c>
      <c r="EX19" s="14">
        <v>0.34599999999999997</v>
      </c>
      <c r="EY19" s="14">
        <v>0.90900000000000003</v>
      </c>
      <c r="EZ19" s="14">
        <v>0.503</v>
      </c>
      <c r="FA19" s="14">
        <v>0.38600000000000001</v>
      </c>
      <c r="FB19" s="14">
        <v>0.16400000000000001</v>
      </c>
      <c r="FC19" s="14">
        <v>2.1999999999999999E-2</v>
      </c>
      <c r="FD19" s="14">
        <v>0.20699999999999999</v>
      </c>
      <c r="FE19" s="14">
        <v>0</v>
      </c>
      <c r="FF19" s="14">
        <v>0</v>
      </c>
      <c r="FG19" s="14">
        <v>1.9E-2</v>
      </c>
      <c r="FH19" s="14">
        <v>0</v>
      </c>
      <c r="FI19" s="14">
        <v>0.169145038361321</v>
      </c>
      <c r="FJ19" s="14">
        <v>0.37780751574957216</v>
      </c>
      <c r="FK19" s="14">
        <v>0.84870199889119924</v>
      </c>
      <c r="FL19" s="14">
        <v>0.66516039351595557</v>
      </c>
      <c r="FM19" s="14">
        <v>0.41196280227696003</v>
      </c>
      <c r="FN19" s="14">
        <v>0.15164557243432972</v>
      </c>
      <c r="FO19" s="14">
        <v>4.2897219996338706E-2</v>
      </c>
      <c r="FP19" s="14">
        <v>0.42281059927300385</v>
      </c>
      <c r="FQ19" s="14">
        <v>0.44605959259526196</v>
      </c>
      <c r="FR19" s="14">
        <v>0.48635698107667108</v>
      </c>
      <c r="FS19" s="14">
        <v>0.15991563648332083</v>
      </c>
      <c r="FT19" s="14">
        <v>0.56091364934606514</v>
      </c>
      <c r="FU19" s="14">
        <v>0.72099999999999997</v>
      </c>
      <c r="FV19" s="14">
        <v>0.95299999999999996</v>
      </c>
      <c r="FW19" s="14">
        <v>0.82299999999999995</v>
      </c>
      <c r="FX19" s="14">
        <v>0.44</v>
      </c>
      <c r="FY19" s="14">
        <v>0.55000000000000004</v>
      </c>
      <c r="FZ19" s="14">
        <v>0.104</v>
      </c>
      <c r="GA19" s="14">
        <v>0.158</v>
      </c>
      <c r="GB19" s="14">
        <v>0.432</v>
      </c>
      <c r="GC19" s="14">
        <v>0.26500000000000001</v>
      </c>
      <c r="GD19" s="14">
        <v>3.2000000000000001E-2</v>
      </c>
      <c r="GE19" s="14">
        <v>1.6E-2</v>
      </c>
      <c r="GF19" s="14">
        <v>6.3E-2</v>
      </c>
      <c r="GG19" s="14">
        <v>0.16</v>
      </c>
      <c r="GH19" s="14">
        <v>0.496</v>
      </c>
      <c r="GI19" s="14">
        <v>0.90400000000000003</v>
      </c>
      <c r="GJ19" s="14">
        <v>0.48299999999999998</v>
      </c>
      <c r="GK19" s="14">
        <v>0.19500000000000001</v>
      </c>
      <c r="GL19" s="14">
        <v>0.746</v>
      </c>
      <c r="GM19" s="14">
        <v>0.375</v>
      </c>
      <c r="GN19" s="14">
        <v>0.16200000000000001</v>
      </c>
      <c r="GO19" s="14">
        <v>0.84199999999999997</v>
      </c>
      <c r="GP19" s="14">
        <v>0.84299999999999997</v>
      </c>
      <c r="GQ19" s="14">
        <v>0.20699999999999999</v>
      </c>
      <c r="GR19" s="14">
        <v>4.8000000000000001E-2</v>
      </c>
      <c r="GS19" s="14">
        <v>0.91500000000000004</v>
      </c>
      <c r="GT19" s="14">
        <v>2.2850000000000001</v>
      </c>
      <c r="GU19" s="14">
        <v>3.1619999999999999</v>
      </c>
      <c r="GV19" s="14">
        <v>2.7989999999999999</v>
      </c>
      <c r="GW19" s="14">
        <v>1.8129999999999999</v>
      </c>
      <c r="GX19" s="14">
        <v>0.41799999999999998</v>
      </c>
      <c r="GY19" s="14">
        <v>0.47699999999999998</v>
      </c>
      <c r="GZ19" s="14">
        <v>7.3999999999999996E-2</v>
      </c>
      <c r="HA19" s="14">
        <v>0.55000000000000004</v>
      </c>
      <c r="HB19" s="14">
        <v>0.64600000000000002</v>
      </c>
      <c r="HC19" s="14">
        <v>0.34100000000000003</v>
      </c>
      <c r="HD19" s="14">
        <v>0.67400000000000004</v>
      </c>
      <c r="HE19" s="14">
        <v>0.90700000000000003</v>
      </c>
      <c r="HF19" s="14">
        <v>2.1819999999999999</v>
      </c>
      <c r="HG19" s="14">
        <v>1.984</v>
      </c>
      <c r="HH19" s="14">
        <v>3.0819999999999999</v>
      </c>
      <c r="HI19" s="14">
        <v>0.96499999999999997</v>
      </c>
      <c r="HJ19" s="14">
        <v>1.36</v>
      </c>
      <c r="HK19" s="14">
        <v>0.17199999999999999</v>
      </c>
      <c r="HL19" s="14">
        <v>0.13800000000000001</v>
      </c>
      <c r="HM19" s="14">
        <v>0.42099999999999999</v>
      </c>
      <c r="HN19" s="14">
        <v>0</v>
      </c>
      <c r="HO19" s="14">
        <v>0.16500000000000001</v>
      </c>
      <c r="HP19" s="14">
        <v>0.12</v>
      </c>
      <c r="HQ19" s="14">
        <v>1.3089999999999999</v>
      </c>
      <c r="HR19" s="14">
        <v>1.6439999999999999</v>
      </c>
      <c r="HS19" s="14">
        <v>2.8919999999999999</v>
      </c>
      <c r="HT19" s="14">
        <v>1.9970000000000001</v>
      </c>
      <c r="HU19" s="14">
        <v>0.35599999999999998</v>
      </c>
      <c r="HV19" s="14">
        <v>0.40699999999999997</v>
      </c>
      <c r="HW19" s="14">
        <v>0.76</v>
      </c>
      <c r="HX19" s="14">
        <v>1.5049999999999999</v>
      </c>
      <c r="HY19" s="14">
        <v>0.52200000000000002</v>
      </c>
      <c r="HZ19" s="14">
        <v>0.34799999999999998</v>
      </c>
      <c r="IA19" s="14">
        <v>0.40400000000000003</v>
      </c>
      <c r="IB19" s="14">
        <v>0.72499999999999998</v>
      </c>
      <c r="IC19" s="14">
        <v>3.2429999999999999</v>
      </c>
      <c r="ID19" s="14">
        <v>3.806</v>
      </c>
      <c r="IE19" s="14">
        <v>3.148765</v>
      </c>
      <c r="IF19" s="14">
        <v>1.3420000000000001</v>
      </c>
      <c r="IG19" s="14">
        <v>1.544254</v>
      </c>
      <c r="IH19" s="14">
        <v>0.375558</v>
      </c>
      <c r="II19" s="14">
        <v>0.100443</v>
      </c>
      <c r="IJ19" s="14">
        <v>1.0093892799999999</v>
      </c>
      <c r="IK19" s="14">
        <v>1.2150415899999998</v>
      </c>
      <c r="IL19" s="14">
        <v>0.80284994999999948</v>
      </c>
      <c r="IM19" s="14">
        <v>0.28988126999999997</v>
      </c>
      <c r="IN19" s="14">
        <v>0.40317136000000009</v>
      </c>
      <c r="IO19" s="14">
        <v>1.9933395600000032</v>
      </c>
      <c r="IP19" s="14">
        <v>1.2831656800000006</v>
      </c>
      <c r="IQ19" s="14">
        <v>2.0064140199999967</v>
      </c>
      <c r="IR19" s="14">
        <v>2.2044522700000027</v>
      </c>
      <c r="IS19" s="14">
        <v>1.2802308899999995</v>
      </c>
      <c r="IT19" s="14">
        <v>0.56250253000000028</v>
      </c>
      <c r="IU19" s="14">
        <v>0.25170453000000004</v>
      </c>
      <c r="IV19" s="14">
        <v>2.9439759999999999E-2</v>
      </c>
      <c r="IW19" s="14">
        <v>0.27582288999999999</v>
      </c>
      <c r="IX19" s="14">
        <v>0.44115331999999996</v>
      </c>
      <c r="IY19" s="14">
        <v>9.2720640000000021E-2</v>
      </c>
      <c r="IZ19" s="14">
        <v>1.1399094100000002</v>
      </c>
      <c r="JA19" s="14">
        <v>3.9659328800000009</v>
      </c>
      <c r="JB19" s="14">
        <v>4.4696304999999965</v>
      </c>
      <c r="JC19" s="14">
        <v>3.4180798899999965</v>
      </c>
      <c r="JD19" s="14">
        <v>3.4785264499999986</v>
      </c>
      <c r="JE19" s="14">
        <v>4.3104289499999915</v>
      </c>
      <c r="JF19" s="14">
        <v>1.6670205500000015</v>
      </c>
      <c r="JG19" s="14">
        <v>0.54042682000000009</v>
      </c>
      <c r="JH19" s="14">
        <v>1.8974109800000016</v>
      </c>
      <c r="JI19" s="14">
        <v>1.2424902</v>
      </c>
      <c r="JJ19" s="14">
        <v>0</v>
      </c>
      <c r="JK19" s="14">
        <v>5.8586359999999983E-2</v>
      </c>
      <c r="JL19" s="14">
        <v>3.5615878399999987</v>
      </c>
      <c r="JM19" s="14">
        <v>11.500601786367978</v>
      </c>
      <c r="JN19" s="14">
        <v>11.860375928351289</v>
      </c>
      <c r="JO19" s="14">
        <v>8.7847043700000018</v>
      </c>
      <c r="JP19" s="14">
        <v>4.1884837767728964</v>
      </c>
      <c r="JQ19" s="14">
        <v>1.6926005030000011</v>
      </c>
      <c r="JR19" s="14">
        <v>0.23102984600063281</v>
      </c>
      <c r="JS19" s="14">
        <v>0.67131113800000008</v>
      </c>
      <c r="JT19" s="14">
        <v>3.7997585669048517</v>
      </c>
      <c r="JU19" s="14">
        <v>4.5259542971557609</v>
      </c>
      <c r="JV19" s="14">
        <v>1.721682669999999</v>
      </c>
      <c r="JW19" s="14">
        <v>1.1560636509999995</v>
      </c>
      <c r="JX19" s="14">
        <v>4.9785628970000051</v>
      </c>
      <c r="JY19" s="14">
        <v>7.1314727639999864</v>
      </c>
      <c r="JZ19" s="14">
        <v>7.8810042200210457</v>
      </c>
      <c r="KA19" s="14">
        <v>8.945722071898043</v>
      </c>
      <c r="KB19" s="14">
        <v>5.6946523780113338</v>
      </c>
      <c r="KC19" s="14">
        <v>2.0344320733202275</v>
      </c>
      <c r="KD19" s="14">
        <v>2.2078892373553867</v>
      </c>
      <c r="KE19" s="14">
        <v>3.0232383394041178</v>
      </c>
      <c r="KF19" s="14">
        <v>4.0248089537418279</v>
      </c>
      <c r="KG19" s="14">
        <v>6.2150748081324121</v>
      </c>
      <c r="KH19" s="14">
        <v>0.91199224888401065</v>
      </c>
      <c r="KI19" s="14">
        <v>1.6896277259103214</v>
      </c>
      <c r="KJ19" s="14">
        <v>2.4444770213604547</v>
      </c>
      <c r="KK19" s="14">
        <v>2.6727190930458216</v>
      </c>
      <c r="KL19" s="14">
        <v>1.4113042609376303</v>
      </c>
      <c r="KM19" s="14">
        <v>3.9264952050000002</v>
      </c>
      <c r="KN19" s="14">
        <v>2.5336321461072524</v>
      </c>
      <c r="KO19" s="14">
        <v>0.57203340300000005</v>
      </c>
      <c r="KP19" s="14">
        <v>0.16420221100000004</v>
      </c>
      <c r="KQ19" s="14">
        <v>0.14647911800000002</v>
      </c>
      <c r="KR19" s="14">
        <v>0.74925268684375945</v>
      </c>
      <c r="KS19" s="14">
        <v>1.1302916756383612</v>
      </c>
      <c r="KT19" s="14">
        <v>0.32992721599999997</v>
      </c>
      <c r="KU19" s="14">
        <v>0.15510028697055137</v>
      </c>
      <c r="KV19" s="14">
        <v>0.73278795574065614</v>
      </c>
      <c r="KW19" s="14">
        <v>2.4826549608315496</v>
      </c>
      <c r="KX19" s="14">
        <v>2.9381599928994833</v>
      </c>
      <c r="KY19" s="14">
        <v>0.98094453399999937</v>
      </c>
      <c r="KZ19" s="14">
        <v>2.2153450129999999</v>
      </c>
      <c r="LA19" s="14">
        <v>3.1865347969999962</v>
      </c>
      <c r="LB19" s="14">
        <v>1.1132944070000002</v>
      </c>
      <c r="LC19" s="14">
        <v>0.7818528603560293</v>
      </c>
      <c r="LD19" s="14">
        <v>0.39685843583544766</v>
      </c>
      <c r="LE19" s="14">
        <v>0.64327681226245159</v>
      </c>
      <c r="LF19" s="14">
        <v>0.50657318855275546</v>
      </c>
      <c r="LG19" s="14">
        <v>0.24376074150676011</v>
      </c>
      <c r="LH19" s="14">
        <v>1.7854804991628632</v>
      </c>
      <c r="LI19" s="14">
        <v>4.977803129465042</v>
      </c>
      <c r="LJ19" s="14">
        <v>5.8075571394262875</v>
      </c>
      <c r="LK19" s="14">
        <v>3.305304105589137</v>
      </c>
      <c r="LL19" s="14">
        <v>2.0465984655439726</v>
      </c>
      <c r="LM19" s="14">
        <v>0.65816764630436742</v>
      </c>
      <c r="LN19" s="14">
        <v>1.2699040666648551</v>
      </c>
      <c r="LO19" s="14">
        <v>1.8031076799999999</v>
      </c>
      <c r="LP19" s="14">
        <v>1.7010373100000007</v>
      </c>
      <c r="LQ19" s="14">
        <v>2.0073052300000014</v>
      </c>
      <c r="LR19" s="14">
        <v>0.48553259000000004</v>
      </c>
      <c r="LS19" s="14">
        <v>0.4442133199999998</v>
      </c>
      <c r="LT19" s="14">
        <v>2.1138938600000023</v>
      </c>
      <c r="LU19" s="149"/>
    </row>
    <row r="20" spans="1:333" x14ac:dyDescent="0.3">
      <c r="A20" s="2" t="s">
        <v>12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4">
        <v>0.191</v>
      </c>
      <c r="AB20" s="14">
        <v>0.33800000000000002</v>
      </c>
      <c r="AC20" s="14">
        <v>3.06</v>
      </c>
      <c r="AD20" s="14">
        <v>2.97</v>
      </c>
      <c r="AE20" s="14">
        <v>1.657</v>
      </c>
      <c r="AF20" s="14">
        <v>0.88700000000000001</v>
      </c>
      <c r="AG20" s="14">
        <v>0.871</v>
      </c>
      <c r="AH20" s="14">
        <v>0.91700000000000004</v>
      </c>
      <c r="AI20" s="14">
        <v>1.3779999999999999</v>
      </c>
      <c r="AJ20" s="14">
        <v>0.59099999999999997</v>
      </c>
      <c r="AK20" s="14">
        <v>0.67</v>
      </c>
      <c r="AL20" s="14">
        <v>0.47899999999999998</v>
      </c>
      <c r="AM20" s="14">
        <v>0.29599999999999999</v>
      </c>
      <c r="AN20" s="14">
        <v>1.6020000000000001</v>
      </c>
      <c r="AO20" s="14">
        <v>2.5590000000000002</v>
      </c>
      <c r="AP20" s="14">
        <v>4.3789999999999996</v>
      </c>
      <c r="AQ20" s="14">
        <v>3.7480000000000002</v>
      </c>
      <c r="AR20" s="14">
        <v>2.8780000000000001</v>
      </c>
      <c r="AS20" s="14">
        <v>2.3570000000000002</v>
      </c>
      <c r="AT20" s="14">
        <v>0.374</v>
      </c>
      <c r="AU20" s="14">
        <v>0.47200000000000003</v>
      </c>
      <c r="AV20" s="14">
        <v>0.438</v>
      </c>
      <c r="AW20" s="14">
        <v>0.63100000000000001</v>
      </c>
      <c r="AX20" s="14">
        <v>0.41499999999999998</v>
      </c>
      <c r="AY20" s="14">
        <v>0.38900000000000001</v>
      </c>
      <c r="AZ20" s="14">
        <v>0.56400000000000006</v>
      </c>
      <c r="BA20" s="14">
        <v>1.133</v>
      </c>
      <c r="BB20" s="14">
        <v>0.224</v>
      </c>
      <c r="BC20" s="14">
        <v>0.53200000000000003</v>
      </c>
      <c r="BD20" s="14">
        <v>0.90700000000000003</v>
      </c>
      <c r="BE20" s="14">
        <v>0.22900000000000001</v>
      </c>
      <c r="BF20" s="14">
        <v>0.34800000000000003</v>
      </c>
      <c r="BG20" s="14">
        <v>1.335</v>
      </c>
      <c r="BH20" s="14">
        <v>1.633</v>
      </c>
      <c r="BI20" s="14">
        <v>1.0329999999999999</v>
      </c>
      <c r="BJ20" s="14">
        <v>1.101</v>
      </c>
      <c r="BK20" s="14">
        <v>1.944</v>
      </c>
      <c r="BL20" s="14">
        <v>1.5669999999999999</v>
      </c>
      <c r="BM20" s="14">
        <v>1.339</v>
      </c>
      <c r="BN20" s="14">
        <v>0.73599999999999999</v>
      </c>
      <c r="BO20" s="14">
        <v>1.163</v>
      </c>
      <c r="BP20" s="14">
        <v>0.79100000000000004</v>
      </c>
      <c r="BQ20" s="14">
        <v>0.41</v>
      </c>
      <c r="BR20" s="14">
        <v>0.72199999999999998</v>
      </c>
      <c r="BS20" s="14">
        <v>1.6990000000000001</v>
      </c>
      <c r="BT20" s="14">
        <v>3.2759999999999998</v>
      </c>
      <c r="BU20" s="14">
        <v>1.173</v>
      </c>
      <c r="BV20" s="14">
        <v>1.706</v>
      </c>
      <c r="BW20" s="14">
        <v>1.212</v>
      </c>
      <c r="BX20" s="14">
        <v>0.35299999999999998</v>
      </c>
      <c r="BY20" s="14">
        <v>0.63500000000000001</v>
      </c>
      <c r="BZ20" s="14">
        <v>9.9310999999999997E-2</v>
      </c>
      <c r="CA20" s="14">
        <v>0.17069999999999999</v>
      </c>
      <c r="CB20" s="14">
        <v>0.11700000000000001</v>
      </c>
      <c r="CC20" s="14">
        <v>0.26800000000000002</v>
      </c>
      <c r="CD20" s="14">
        <v>1.107</v>
      </c>
      <c r="CE20" s="14">
        <v>0.90600000000000003</v>
      </c>
      <c r="CF20" s="14">
        <v>1.0669999999999999</v>
      </c>
      <c r="CG20" s="14">
        <v>0.71499999999999997</v>
      </c>
      <c r="CH20" s="14">
        <v>1.43</v>
      </c>
      <c r="CI20" s="14">
        <v>0.64100000000000001</v>
      </c>
      <c r="CJ20" s="14">
        <v>0.22</v>
      </c>
      <c r="CK20" s="14">
        <v>0.49099999999999999</v>
      </c>
      <c r="CL20" s="14">
        <v>0.78100000000000003</v>
      </c>
      <c r="CM20" s="14">
        <v>0.77500000000000002</v>
      </c>
      <c r="CN20" s="14">
        <v>0.80900000000000005</v>
      </c>
      <c r="CO20" s="14">
        <v>0.90400000000000003</v>
      </c>
      <c r="CP20" s="14">
        <v>0.16300000000000001</v>
      </c>
      <c r="CQ20" s="14">
        <v>0.54300000000000004</v>
      </c>
      <c r="CR20" s="14">
        <v>0.28300000000000003</v>
      </c>
      <c r="CS20" s="14">
        <v>0.16800000000000001</v>
      </c>
      <c r="CT20" s="14">
        <v>7.0000000000000007E-2</v>
      </c>
      <c r="CU20" s="14">
        <v>0.22600000000000001</v>
      </c>
      <c r="CV20" s="14">
        <v>0.92600000000000005</v>
      </c>
      <c r="CW20" s="14">
        <v>1.0170000000000001</v>
      </c>
      <c r="CX20" s="14">
        <v>2.3E-2</v>
      </c>
      <c r="CY20" s="14">
        <v>3.7999999999999999E-2</v>
      </c>
      <c r="CZ20" s="14">
        <v>0.3</v>
      </c>
      <c r="DA20" s="14">
        <v>9.8000000000000004E-2</v>
      </c>
      <c r="DB20" s="14">
        <v>5.1000000000000004E-2</v>
      </c>
      <c r="DC20" s="14">
        <v>0.193</v>
      </c>
      <c r="DD20" s="14">
        <v>0.56100000000000005</v>
      </c>
      <c r="DE20" s="14">
        <v>5.1000000000000004E-2</v>
      </c>
      <c r="DF20" s="14">
        <v>0.52600000000000002</v>
      </c>
      <c r="DG20" s="14">
        <v>0.433</v>
      </c>
      <c r="DH20" s="14">
        <v>7.0000000000000007E-2</v>
      </c>
      <c r="DI20" s="14">
        <v>6.0000000000000001E-3</v>
      </c>
      <c r="DJ20" s="14">
        <v>0.20400000000000001</v>
      </c>
      <c r="DK20" s="14">
        <v>8.8999999999999996E-2</v>
      </c>
      <c r="DL20" s="14">
        <v>4.0000000000000001E-3</v>
      </c>
      <c r="DM20" s="14">
        <v>0.66700000000000004</v>
      </c>
      <c r="DN20" s="14">
        <v>1.4179999999999999</v>
      </c>
      <c r="DO20" s="14">
        <v>0.51300000000000001</v>
      </c>
      <c r="DP20" s="14">
        <v>0.45700000000000002</v>
      </c>
      <c r="DQ20" s="14">
        <v>1.35</v>
      </c>
      <c r="DR20" s="14">
        <v>0.92300000000000004</v>
      </c>
      <c r="DS20" s="14">
        <v>0.28999999999999998</v>
      </c>
      <c r="DT20" s="14">
        <v>1.7609999999999999</v>
      </c>
      <c r="DU20" s="14">
        <v>1.0269999999999999</v>
      </c>
      <c r="DV20" s="14">
        <v>0.40699999999999997</v>
      </c>
      <c r="DW20" s="14">
        <v>0.80900000000000005</v>
      </c>
      <c r="DX20" s="14">
        <v>1.264</v>
      </c>
      <c r="DY20" s="14">
        <v>1.3340000000000001</v>
      </c>
      <c r="DZ20" s="14">
        <v>2.0499999999999998</v>
      </c>
      <c r="EA20" s="14">
        <v>1.5489999999999999</v>
      </c>
      <c r="EB20" s="14">
        <v>1.3180000000000001</v>
      </c>
      <c r="EC20" s="14">
        <v>0.61799999999999999</v>
      </c>
      <c r="ED20" s="14">
        <v>0.64100000000000001</v>
      </c>
      <c r="EE20" s="14">
        <v>0.73099999999999998</v>
      </c>
      <c r="EF20" s="14">
        <v>0.622</v>
      </c>
      <c r="EG20" s="14">
        <v>0.60499999999999998</v>
      </c>
      <c r="EH20" s="14">
        <v>1.0029999999999999</v>
      </c>
      <c r="EI20" s="14">
        <v>0.439</v>
      </c>
      <c r="EJ20" s="14">
        <v>0.65800000000000003</v>
      </c>
      <c r="EK20" s="14">
        <v>0.65700000000000003</v>
      </c>
      <c r="EL20" s="14">
        <v>0.53500000000000003</v>
      </c>
      <c r="EM20" s="14">
        <v>0.77600000000000002</v>
      </c>
      <c r="EN20" s="14">
        <v>0.45900000000000002</v>
      </c>
      <c r="EO20" s="14">
        <v>1.206</v>
      </c>
      <c r="EP20" s="14">
        <v>0.47199999999999998</v>
      </c>
      <c r="EQ20" s="14">
        <v>0.58499999999999996</v>
      </c>
      <c r="ER20" s="14">
        <v>2.02</v>
      </c>
      <c r="ES20" s="14">
        <v>2.16</v>
      </c>
      <c r="ET20" s="14">
        <v>2.21</v>
      </c>
      <c r="EU20" s="14">
        <v>0.86599999999999999</v>
      </c>
      <c r="EV20" s="14">
        <v>1.0329999999999999</v>
      </c>
      <c r="EW20" s="14">
        <v>1.5049999999999999</v>
      </c>
      <c r="EX20" s="14">
        <v>2.2120000000000002</v>
      </c>
      <c r="EY20" s="14">
        <v>2.8980000000000001</v>
      </c>
      <c r="EZ20" s="14">
        <v>1.1299999999999999</v>
      </c>
      <c r="FA20" s="14">
        <v>1.087</v>
      </c>
      <c r="FB20" s="14">
        <v>1.0529999999999999</v>
      </c>
      <c r="FC20" s="14">
        <v>1.32</v>
      </c>
      <c r="FD20" s="14">
        <v>1.3009999999999999</v>
      </c>
      <c r="FE20" s="14">
        <v>1.395</v>
      </c>
      <c r="FF20" s="14">
        <v>1.2749999999999999</v>
      </c>
      <c r="FG20" s="14">
        <v>0.24099999999999999</v>
      </c>
      <c r="FH20" s="14">
        <v>0.56299999999999994</v>
      </c>
      <c r="FI20" s="14">
        <v>1.4441505010065556</v>
      </c>
      <c r="FJ20" s="14">
        <v>0.99895974293204559</v>
      </c>
      <c r="FK20" s="14">
        <v>0.34108133772006888</v>
      </c>
      <c r="FL20" s="14">
        <v>0.97118721670547503</v>
      </c>
      <c r="FM20" s="14">
        <v>0.86795611918316928</v>
      </c>
      <c r="FN20" s="14">
        <v>0.99829004785101116</v>
      </c>
      <c r="FO20" s="14">
        <v>0.94210868075701204</v>
      </c>
      <c r="FP20" s="14">
        <v>1.0877996981834017</v>
      </c>
      <c r="FQ20" s="14">
        <v>2.4375607457593134</v>
      </c>
      <c r="FR20" s="14">
        <v>3.8898665055564083</v>
      </c>
      <c r="FS20" s="14">
        <v>3.1074185564395118</v>
      </c>
      <c r="FT20" s="14">
        <v>2.3886208479060311</v>
      </c>
      <c r="FU20" s="14">
        <v>1.7829999999999999</v>
      </c>
      <c r="FV20" s="14">
        <v>1.879</v>
      </c>
      <c r="FW20" s="14">
        <v>2.8490000000000002</v>
      </c>
      <c r="FX20" s="14">
        <v>1.677</v>
      </c>
      <c r="FY20" s="14">
        <v>1.8879999999999999</v>
      </c>
      <c r="FZ20" s="14">
        <v>1.375</v>
      </c>
      <c r="GA20" s="14">
        <v>2.879</v>
      </c>
      <c r="GB20" s="14">
        <v>3.0470000000000002</v>
      </c>
      <c r="GC20" s="14">
        <v>2.931</v>
      </c>
      <c r="GD20" s="14">
        <v>1.198</v>
      </c>
      <c r="GE20" s="14">
        <v>1.093</v>
      </c>
      <c r="GF20" s="14">
        <v>1.6180000000000001</v>
      </c>
      <c r="GG20" s="14">
        <v>1.4319999999999999</v>
      </c>
      <c r="GH20" s="14">
        <v>2.0289999999999999</v>
      </c>
      <c r="GI20" s="14">
        <v>3.9159999999999999</v>
      </c>
      <c r="GJ20" s="14">
        <v>2.839</v>
      </c>
      <c r="GK20" s="14">
        <v>2.7320000000000002</v>
      </c>
      <c r="GL20" s="14">
        <v>2.2240000000000002</v>
      </c>
      <c r="GM20" s="14">
        <v>1.5720000000000001</v>
      </c>
      <c r="GN20" s="14">
        <v>1.0569999999999999</v>
      </c>
      <c r="GO20" s="14">
        <v>0.55400000000000005</v>
      </c>
      <c r="GP20" s="14">
        <v>1.4610000000000001</v>
      </c>
      <c r="GQ20" s="14">
        <v>1.9550000000000001</v>
      </c>
      <c r="GR20" s="14">
        <v>2.242</v>
      </c>
      <c r="GS20" s="14">
        <v>2.169</v>
      </c>
      <c r="GT20" s="14">
        <v>0.61699999999999999</v>
      </c>
      <c r="GU20" s="14">
        <v>1.2709999999999999</v>
      </c>
      <c r="GV20" s="14">
        <v>1.216</v>
      </c>
      <c r="GW20" s="14">
        <v>2.3809999999999998</v>
      </c>
      <c r="GX20" s="14">
        <v>1.466</v>
      </c>
      <c r="GY20" s="14">
        <v>1.7889999999999999</v>
      </c>
      <c r="GZ20" s="14">
        <v>2.052</v>
      </c>
      <c r="HA20" s="14">
        <v>1.762</v>
      </c>
      <c r="HB20" s="14">
        <v>1.044</v>
      </c>
      <c r="HC20" s="14">
        <v>1.294</v>
      </c>
      <c r="HD20" s="14">
        <v>1.0609999999999999</v>
      </c>
      <c r="HE20" s="14">
        <v>3.3340000000000001</v>
      </c>
      <c r="HF20" s="14">
        <v>3.8260000000000001</v>
      </c>
      <c r="HG20" s="14">
        <v>3.5009999999999999</v>
      </c>
      <c r="HH20" s="14">
        <v>2.5720000000000001</v>
      </c>
      <c r="HI20" s="14">
        <v>3.1259999999999999</v>
      </c>
      <c r="HJ20" s="14">
        <v>2.1520000000000001</v>
      </c>
      <c r="HK20" s="14">
        <v>0.76800000000000002</v>
      </c>
      <c r="HL20" s="14">
        <v>0.69499999999999995</v>
      </c>
      <c r="HM20" s="14">
        <v>0.92400000000000004</v>
      </c>
      <c r="HN20" s="14">
        <v>1.1200000000000001</v>
      </c>
      <c r="HO20" s="14">
        <v>1.3620000000000001</v>
      </c>
      <c r="HP20" s="14">
        <v>3.1560000000000001</v>
      </c>
      <c r="HQ20" s="14">
        <v>2.9809999999999999</v>
      </c>
      <c r="HR20" s="14">
        <v>2.0939999999999999</v>
      </c>
      <c r="HS20" s="14">
        <v>3.444</v>
      </c>
      <c r="HT20" s="14">
        <v>2.4590000000000001</v>
      </c>
      <c r="HU20" s="14">
        <v>4.8470000000000004</v>
      </c>
      <c r="HV20" s="14">
        <v>3.9649999999999999</v>
      </c>
      <c r="HW20" s="14">
        <v>3.22</v>
      </c>
      <c r="HX20" s="14">
        <v>1.9419999999999999</v>
      </c>
      <c r="HY20" s="14">
        <v>2.0640000000000001</v>
      </c>
      <c r="HZ20" s="14">
        <v>3.0230000000000001</v>
      </c>
      <c r="IA20" s="14">
        <v>3.0960000000000001</v>
      </c>
      <c r="IB20" s="14">
        <v>2.2829999999999999</v>
      </c>
      <c r="IC20" s="14">
        <v>1.7010000000000001</v>
      </c>
      <c r="ID20" s="14">
        <v>1.788</v>
      </c>
      <c r="IE20" s="14">
        <v>1.6189309999999999</v>
      </c>
      <c r="IF20" s="14">
        <v>1.256</v>
      </c>
      <c r="IG20" s="14">
        <v>2.4263889999999999</v>
      </c>
      <c r="IH20" s="14">
        <v>1.176164</v>
      </c>
      <c r="II20" s="14">
        <v>2.970399</v>
      </c>
      <c r="IJ20" s="14">
        <v>5.6183434799999592</v>
      </c>
      <c r="IK20" s="14">
        <v>3.7426719400000601</v>
      </c>
      <c r="IL20" s="14">
        <v>2.8598796399999951</v>
      </c>
      <c r="IM20" s="14">
        <v>1.2515464600000039</v>
      </c>
      <c r="IN20" s="14">
        <v>0.93092370000000213</v>
      </c>
      <c r="IO20" s="14">
        <v>1.6679728499999944</v>
      </c>
      <c r="IP20" s="14">
        <v>5.0291842899999866</v>
      </c>
      <c r="IQ20" s="14">
        <v>8.2599461499999691</v>
      </c>
      <c r="IR20" s="14">
        <v>4.1110253499999994</v>
      </c>
      <c r="IS20" s="14">
        <v>5.3175483099999994</v>
      </c>
      <c r="IT20" s="14">
        <v>5.2672618299999936</v>
      </c>
      <c r="IU20" s="14">
        <v>2.9138362400000033</v>
      </c>
      <c r="IV20" s="14">
        <v>4.9804639100000463</v>
      </c>
      <c r="IW20" s="14">
        <v>7.9952578700000627</v>
      </c>
      <c r="IX20" s="14">
        <v>5.0380978300000239</v>
      </c>
      <c r="IY20" s="14">
        <v>5.6718927699999959</v>
      </c>
      <c r="IZ20" s="14">
        <v>2.9109736800000046</v>
      </c>
      <c r="JA20" s="14">
        <v>5.6084194499999924</v>
      </c>
      <c r="JB20" s="14">
        <v>4.7980407700000054</v>
      </c>
      <c r="JC20" s="14">
        <v>3.4352595500000018</v>
      </c>
      <c r="JD20" s="14">
        <v>3.077983139999994</v>
      </c>
      <c r="JE20" s="14">
        <v>4.7571417099999982</v>
      </c>
      <c r="JF20" s="14">
        <v>3.2437386399999988</v>
      </c>
      <c r="JG20" s="14">
        <v>3.0108948499999872</v>
      </c>
      <c r="JH20" s="14">
        <v>7.3314132500000451</v>
      </c>
      <c r="JI20" s="14">
        <v>1.9798955199999944</v>
      </c>
      <c r="JJ20" s="14">
        <v>2.911992040000003</v>
      </c>
      <c r="JK20" s="14">
        <v>1.3244139299999993</v>
      </c>
      <c r="JL20" s="14">
        <v>0.61094409999999966</v>
      </c>
      <c r="JM20" s="14">
        <v>2.799366655443845</v>
      </c>
      <c r="JN20" s="14">
        <v>3.6371027625592531</v>
      </c>
      <c r="JO20" s="14">
        <v>3.2024138726276217</v>
      </c>
      <c r="JP20" s="14">
        <v>3.385790085712137</v>
      </c>
      <c r="JQ20" s="14">
        <v>2.498935635945525</v>
      </c>
      <c r="JR20" s="14">
        <v>3.0479094821466357</v>
      </c>
      <c r="JS20" s="14">
        <v>3.1742320605658154</v>
      </c>
      <c r="JT20" s="14">
        <v>5.1806434400900834</v>
      </c>
      <c r="JU20" s="14">
        <v>5.0139973286908983</v>
      </c>
      <c r="JV20" s="14">
        <v>5.7627864867803664</v>
      </c>
      <c r="JW20" s="14">
        <v>6.4475375577689107</v>
      </c>
      <c r="JX20" s="14">
        <v>3.1053128499936569</v>
      </c>
      <c r="JY20" s="14">
        <v>4.8225688874449268</v>
      </c>
      <c r="JZ20" s="14">
        <v>4.0454336614418764</v>
      </c>
      <c r="KA20" s="14">
        <v>5.0873747596162566</v>
      </c>
      <c r="KB20" s="14">
        <v>6.0217382452847801</v>
      </c>
      <c r="KC20" s="14">
        <v>15.252124271260904</v>
      </c>
      <c r="KD20" s="14">
        <v>10.277094759834274</v>
      </c>
      <c r="KE20" s="14">
        <v>5.1175393359644836</v>
      </c>
      <c r="KF20" s="14">
        <v>11.3718701473578</v>
      </c>
      <c r="KG20" s="14">
        <v>7.9116490764100362</v>
      </c>
      <c r="KH20" s="14">
        <v>7.3091904070729612</v>
      </c>
      <c r="KI20" s="14">
        <v>7.7494141608842799</v>
      </c>
      <c r="KJ20" s="14">
        <v>6.002422490262675</v>
      </c>
      <c r="KK20" s="14">
        <v>4.0244062737065516</v>
      </c>
      <c r="KL20" s="14">
        <v>10.606167789672185</v>
      </c>
      <c r="KM20" s="14">
        <v>4.5611572264453422</v>
      </c>
      <c r="KN20" s="14">
        <v>3.1778281201732375</v>
      </c>
      <c r="KO20" s="14">
        <v>7.0282437835730871</v>
      </c>
      <c r="KP20" s="14">
        <v>7.1109926576785467</v>
      </c>
      <c r="KQ20" s="14">
        <v>5.7090437358487147</v>
      </c>
      <c r="KR20" s="14">
        <v>6.2361272430682977</v>
      </c>
      <c r="KS20" s="14">
        <v>4.8264193674154514</v>
      </c>
      <c r="KT20" s="14">
        <v>7.1928668079583975</v>
      </c>
      <c r="KU20" s="14">
        <v>5.0772485680184936</v>
      </c>
      <c r="KV20" s="14">
        <v>4.6215502285169343</v>
      </c>
      <c r="KW20" s="14">
        <v>5.8044381171219976</v>
      </c>
      <c r="KX20" s="14">
        <v>7.8391819209871629</v>
      </c>
      <c r="KY20" s="14">
        <v>7.2848056441115885</v>
      </c>
      <c r="KZ20" s="14">
        <v>4.290035682977889</v>
      </c>
      <c r="LA20" s="14">
        <v>11.588194854287726</v>
      </c>
      <c r="LB20" s="14">
        <v>8.0239055753593043</v>
      </c>
      <c r="LC20" s="14">
        <v>12.560416844124514</v>
      </c>
      <c r="LD20" s="14">
        <v>10.128938493336763</v>
      </c>
      <c r="LE20" s="14">
        <v>4.9650479612712646</v>
      </c>
      <c r="LF20" s="14">
        <v>7.0403678541177763</v>
      </c>
      <c r="LG20" s="14">
        <v>7.5890790500128658</v>
      </c>
      <c r="LH20" s="14">
        <v>8.7986058339391224</v>
      </c>
      <c r="LI20" s="14">
        <v>19.553418306646524</v>
      </c>
      <c r="LJ20" s="14">
        <v>12.820447142195617</v>
      </c>
      <c r="LK20" s="14">
        <v>11.363654641301723</v>
      </c>
      <c r="LL20" s="14">
        <v>2.9819555225095704</v>
      </c>
      <c r="LM20" s="14">
        <v>15.52128915059386</v>
      </c>
      <c r="LN20" s="14">
        <v>11.484625839006585</v>
      </c>
      <c r="LO20" s="14">
        <v>9.8614844799999091</v>
      </c>
      <c r="LP20" s="14">
        <v>7.9344672999999935</v>
      </c>
      <c r="LQ20" s="14">
        <v>3.9060469300000027</v>
      </c>
      <c r="LR20" s="14">
        <v>4.6803512000000076</v>
      </c>
      <c r="LS20" s="14">
        <v>2.8828058299999864</v>
      </c>
      <c r="LT20" s="14">
        <v>3.8171083700000201</v>
      </c>
      <c r="LU20" s="149"/>
    </row>
    <row r="21" spans="1:333" x14ac:dyDescent="0.3">
      <c r="A21" s="2" t="s">
        <v>13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4">
        <v>1.286</v>
      </c>
      <c r="AB21" s="14">
        <v>1.532</v>
      </c>
      <c r="AC21" s="14">
        <v>1.0149999999999999</v>
      </c>
      <c r="AD21" s="14">
        <v>1.202</v>
      </c>
      <c r="AE21" s="14">
        <v>0.48599999999999999</v>
      </c>
      <c r="AF21" s="14">
        <v>1.0979999999999999</v>
      </c>
      <c r="AG21" s="14">
        <v>1.2609999999999999</v>
      </c>
      <c r="AH21" s="14">
        <v>1.2149999999999999</v>
      </c>
      <c r="AI21" s="14">
        <v>0.59500000000000008</v>
      </c>
      <c r="AJ21" s="14">
        <v>0.17299999999999999</v>
      </c>
      <c r="AK21" s="14">
        <v>9.8000000000000004E-2</v>
      </c>
      <c r="AL21" s="14">
        <v>0.50600000000000001</v>
      </c>
      <c r="AM21" s="14">
        <v>7.8E-2</v>
      </c>
      <c r="AN21" s="14">
        <v>0.58899999999999997</v>
      </c>
      <c r="AO21" s="14">
        <v>3.0369999999999999</v>
      </c>
      <c r="AP21" s="14">
        <v>3.0760000000000001</v>
      </c>
      <c r="AQ21" s="14">
        <v>1.125</v>
      </c>
      <c r="AR21" s="14">
        <v>0.88800000000000001</v>
      </c>
      <c r="AS21" s="14">
        <v>0.86199999999999999</v>
      </c>
      <c r="AT21" s="14">
        <v>0.53100000000000003</v>
      </c>
      <c r="AU21" s="14">
        <v>0.98099999999999998</v>
      </c>
      <c r="AV21" s="14">
        <v>0.35100000000000003</v>
      </c>
      <c r="AW21" s="14">
        <v>0.18</v>
      </c>
      <c r="AX21" s="14">
        <v>0</v>
      </c>
      <c r="AY21" s="14">
        <v>0.13600000000000001</v>
      </c>
      <c r="AZ21" s="14">
        <v>1.0090000000000001</v>
      </c>
      <c r="BA21" s="14">
        <v>1.133</v>
      </c>
      <c r="BB21" s="14">
        <v>0.06</v>
      </c>
      <c r="BC21" s="14">
        <v>0.313</v>
      </c>
      <c r="BD21" s="14">
        <v>0.58299999999999996</v>
      </c>
      <c r="BE21" s="14">
        <v>3.7999999999999999E-2</v>
      </c>
      <c r="BF21" s="14">
        <v>0.46200000000000002</v>
      </c>
      <c r="BG21" s="14">
        <v>1.0920000000000001</v>
      </c>
      <c r="BH21" s="14">
        <v>1.556</v>
      </c>
      <c r="BI21" s="14">
        <v>0.47300000000000003</v>
      </c>
      <c r="BJ21" s="14">
        <v>0.621</v>
      </c>
      <c r="BK21" s="14">
        <v>2E-3</v>
      </c>
      <c r="BL21" s="14">
        <v>7.9000000000000001E-2</v>
      </c>
      <c r="BM21" s="14">
        <v>0.11600000000000001</v>
      </c>
      <c r="BN21" s="14">
        <v>9.1999999999999998E-2</v>
      </c>
      <c r="BO21" s="14">
        <v>0.11700000000000001</v>
      </c>
      <c r="BP21" s="14">
        <v>0.77400000000000002</v>
      </c>
      <c r="BQ21" s="14">
        <v>1.2070000000000001</v>
      </c>
      <c r="BR21" s="14">
        <v>1.5529999999999999</v>
      </c>
      <c r="BS21" s="14">
        <v>0.84799999999999998</v>
      </c>
      <c r="BT21" s="14">
        <v>0.28100000000000003</v>
      </c>
      <c r="BU21" s="14">
        <v>0.308</v>
      </c>
      <c r="BV21" s="14">
        <v>0.6</v>
      </c>
      <c r="BW21" s="14">
        <v>0.45900000000000002</v>
      </c>
      <c r="BX21" s="14">
        <v>0.42199999999999999</v>
      </c>
      <c r="BY21" s="14">
        <v>0.14899999999999999</v>
      </c>
      <c r="BZ21" s="14">
        <v>9.3392000000000003E-2</v>
      </c>
      <c r="CA21" s="14">
        <v>0.27979999999999999</v>
      </c>
      <c r="CB21" s="14">
        <v>0.16370000000000001</v>
      </c>
      <c r="CC21" s="14">
        <v>3.3000000000000002E-2</v>
      </c>
      <c r="CD21" s="14">
        <v>5.3000000000000005E-2</v>
      </c>
      <c r="CE21" s="14">
        <v>6.2E-2</v>
      </c>
      <c r="CF21" s="14">
        <v>7.0000000000000001E-3</v>
      </c>
      <c r="CG21" s="14">
        <v>0.42299999999999999</v>
      </c>
      <c r="CH21" s="14">
        <v>0.05</v>
      </c>
      <c r="CI21" s="14">
        <v>0.18099999999999999</v>
      </c>
      <c r="CJ21" s="14">
        <v>3.2000000000000001E-2</v>
      </c>
      <c r="CK21" s="14">
        <v>0.39800000000000002</v>
      </c>
      <c r="CL21" s="14">
        <v>0.32600000000000001</v>
      </c>
      <c r="CM21" s="14">
        <v>0.39200000000000002</v>
      </c>
      <c r="CN21" s="14">
        <v>0.311</v>
      </c>
      <c r="CO21" s="14">
        <v>0.77700000000000002</v>
      </c>
      <c r="CP21" s="14">
        <v>0.57699999999999996</v>
      </c>
      <c r="CQ21" s="14">
        <v>0.98699999999999999</v>
      </c>
      <c r="CR21" s="14">
        <v>0.10300000000000001</v>
      </c>
      <c r="CS21" s="14">
        <v>0.36199999999999999</v>
      </c>
      <c r="CT21" s="14">
        <v>0.14200000000000002</v>
      </c>
      <c r="CU21" s="14">
        <v>0.32100000000000001</v>
      </c>
      <c r="CV21" s="14">
        <v>4.7E-2</v>
      </c>
      <c r="CW21" s="14">
        <v>4.3999999999999997E-2</v>
      </c>
      <c r="CX21" s="14">
        <v>2.8000000000000001E-2</v>
      </c>
      <c r="CY21" s="14">
        <v>2.2919999999999998</v>
      </c>
      <c r="CZ21" s="14">
        <v>0.223</v>
      </c>
      <c r="DA21" s="14">
        <v>0.51</v>
      </c>
      <c r="DB21" s="14">
        <v>0.191</v>
      </c>
      <c r="DC21" s="14">
        <v>0.54800000000000004</v>
      </c>
      <c r="DD21" s="14">
        <v>2.3E-2</v>
      </c>
      <c r="DE21" s="14">
        <v>0.16400000000000001</v>
      </c>
      <c r="DF21" s="14">
        <v>0.42699999999999999</v>
      </c>
      <c r="DG21" s="14">
        <v>0.318</v>
      </c>
      <c r="DH21" s="14">
        <v>0.23499999999999999</v>
      </c>
      <c r="DI21" s="14">
        <v>0.19900000000000001</v>
      </c>
      <c r="DJ21" s="14">
        <v>0.11900000000000001</v>
      </c>
      <c r="DK21" s="14">
        <v>0.17</v>
      </c>
      <c r="DL21" s="14">
        <v>9.7000000000000003E-2</v>
      </c>
      <c r="DM21" s="14">
        <v>0.25900000000000001</v>
      </c>
      <c r="DN21" s="14">
        <v>0.11899999999999999</v>
      </c>
      <c r="DO21" s="14">
        <v>3.1E-2</v>
      </c>
      <c r="DP21" s="14">
        <v>0.17299999999999999</v>
      </c>
      <c r="DQ21" s="14">
        <v>0.2</v>
      </c>
      <c r="DR21" s="14">
        <v>0.121</v>
      </c>
      <c r="DS21" s="14">
        <v>0.104</v>
      </c>
      <c r="DT21" s="14">
        <v>0.123</v>
      </c>
      <c r="DU21" s="14">
        <v>5.3999999999999999E-2</v>
      </c>
      <c r="DV21" s="14">
        <v>1.9E-2</v>
      </c>
      <c r="DW21" s="14">
        <v>0.11</v>
      </c>
      <c r="DX21" s="14">
        <v>0.29399999999999998</v>
      </c>
      <c r="DY21" s="14">
        <v>0.17</v>
      </c>
      <c r="DZ21" s="14">
        <v>0.15</v>
      </c>
      <c r="EA21" s="14">
        <v>8.1000000000000003E-2</v>
      </c>
      <c r="EB21" s="14">
        <v>9.7000000000000003E-2</v>
      </c>
      <c r="EC21" s="14">
        <v>6.6000000000000003E-2</v>
      </c>
      <c r="ED21" s="14">
        <v>0.18099999999999999</v>
      </c>
      <c r="EE21" s="14">
        <v>0.06</v>
      </c>
      <c r="EF21" s="14">
        <v>0.42899999999999999</v>
      </c>
      <c r="EG21" s="14">
        <v>0.23100000000000001</v>
      </c>
      <c r="EH21" s="14">
        <v>0.216</v>
      </c>
      <c r="EI21" s="14">
        <v>0.252</v>
      </c>
      <c r="EJ21" s="14">
        <v>0.57699999999999996</v>
      </c>
      <c r="EK21" s="14">
        <v>0.502</v>
      </c>
      <c r="EL21" s="14">
        <v>0.22600000000000001</v>
      </c>
      <c r="EM21" s="14">
        <v>0.114</v>
      </c>
      <c r="EN21" s="14">
        <v>2.5950000000000002</v>
      </c>
      <c r="EO21" s="14">
        <v>0.13700000000000001</v>
      </c>
      <c r="EP21" s="14">
        <v>0.152</v>
      </c>
      <c r="EQ21" s="14">
        <v>0.23899999999999999</v>
      </c>
      <c r="ER21" s="14">
        <v>0.252</v>
      </c>
      <c r="ES21" s="14">
        <v>0.27700000000000002</v>
      </c>
      <c r="ET21" s="14">
        <v>0.27500000000000002</v>
      </c>
      <c r="EU21" s="14">
        <v>0.51200000000000001</v>
      </c>
      <c r="EV21" s="14">
        <v>0.38200000000000001</v>
      </c>
      <c r="EW21" s="14">
        <v>0.34</v>
      </c>
      <c r="EX21" s="14">
        <v>0.65700000000000003</v>
      </c>
      <c r="EY21" s="14">
        <v>0.53700000000000003</v>
      </c>
      <c r="EZ21" s="14">
        <v>0.66400000000000003</v>
      </c>
      <c r="FA21" s="14">
        <v>0.28199999999999997</v>
      </c>
      <c r="FB21" s="14">
        <v>0.44900000000000001</v>
      </c>
      <c r="FC21" s="14">
        <v>0.30499999999999999</v>
      </c>
      <c r="FD21" s="14">
        <v>0.38400000000000001</v>
      </c>
      <c r="FE21" s="14">
        <v>0.45100000000000001</v>
      </c>
      <c r="FF21" s="14">
        <v>0.25700000000000001</v>
      </c>
      <c r="FG21" s="14">
        <v>2.7E-2</v>
      </c>
      <c r="FH21" s="14">
        <v>0.26300000000000001</v>
      </c>
      <c r="FI21" s="14">
        <v>0.67233727331660331</v>
      </c>
      <c r="FJ21" s="14">
        <v>0.27758280397378882</v>
      </c>
      <c r="FK21" s="14">
        <v>9.8326886898058893E-2</v>
      </c>
      <c r="FL21" s="14">
        <v>0.28282245848941229</v>
      </c>
      <c r="FM21" s="14">
        <v>0.67030172408031785</v>
      </c>
      <c r="FN21" s="14">
        <v>0.566709085881555</v>
      </c>
      <c r="FO21" s="14">
        <v>0.98384879753793519</v>
      </c>
      <c r="FP21" s="14">
        <v>0.83005174412970628</v>
      </c>
      <c r="FQ21" s="14">
        <v>0.52200239339573151</v>
      </c>
      <c r="FR21" s="14">
        <v>0.46749780793354301</v>
      </c>
      <c r="FS21" s="14">
        <v>0.84117477385960759</v>
      </c>
      <c r="FT21" s="14">
        <v>0.72934425050374097</v>
      </c>
      <c r="FU21" s="14">
        <v>0.51800000000000002</v>
      </c>
      <c r="FV21" s="14">
        <v>0.42699999999999999</v>
      </c>
      <c r="FW21" s="14">
        <v>0.81200000000000006</v>
      </c>
      <c r="FX21" s="14">
        <v>0.70199999999999996</v>
      </c>
      <c r="FY21" s="14">
        <v>0.245</v>
      </c>
      <c r="FZ21" s="14">
        <v>1.274</v>
      </c>
      <c r="GA21" s="14">
        <v>0.252</v>
      </c>
      <c r="GB21" s="14">
        <v>1.5880000000000001</v>
      </c>
      <c r="GC21" s="14">
        <v>0.81299999999999994</v>
      </c>
      <c r="GD21" s="14">
        <v>0.10199999999999999</v>
      </c>
      <c r="GE21" s="14">
        <v>0.60599999999999998</v>
      </c>
      <c r="GF21" s="14">
        <v>0.47899999999999998</v>
      </c>
      <c r="GG21" s="14">
        <v>0.55500000000000005</v>
      </c>
      <c r="GH21" s="14">
        <v>0.251</v>
      </c>
      <c r="GI21" s="14">
        <v>0.29799999999999999</v>
      </c>
      <c r="GJ21" s="14">
        <v>0.161</v>
      </c>
      <c r="GK21" s="14">
        <v>0.314</v>
      </c>
      <c r="GL21" s="14">
        <v>0.35899999999999999</v>
      </c>
      <c r="GM21" s="14">
        <v>0.187</v>
      </c>
      <c r="GN21" s="14">
        <v>0.35399999999999998</v>
      </c>
      <c r="GO21" s="14">
        <v>7.8E-2</v>
      </c>
      <c r="GP21" s="14">
        <v>0.107</v>
      </c>
      <c r="GQ21" s="14">
        <v>0.71899999999999997</v>
      </c>
      <c r="GR21" s="14">
        <v>0.26500000000000001</v>
      </c>
      <c r="GS21" s="14">
        <v>0.27600000000000002</v>
      </c>
      <c r="GT21" s="14">
        <v>0.23400000000000001</v>
      </c>
      <c r="GU21" s="14">
        <v>0.40699999999999997</v>
      </c>
      <c r="GV21" s="14">
        <v>0.224</v>
      </c>
      <c r="GW21" s="14">
        <v>0.90300000000000002</v>
      </c>
      <c r="GX21" s="14">
        <v>1.9550000000000001</v>
      </c>
      <c r="GY21" s="14">
        <v>1.9650000000000001</v>
      </c>
      <c r="GZ21" s="14">
        <v>1.3660000000000001</v>
      </c>
      <c r="HA21" s="14">
        <v>0.441</v>
      </c>
      <c r="HB21" s="14">
        <v>2.2429999999999999</v>
      </c>
      <c r="HC21" s="14">
        <v>1.762</v>
      </c>
      <c r="HD21" s="14">
        <v>1.004</v>
      </c>
      <c r="HE21" s="14">
        <v>0.89400000000000002</v>
      </c>
      <c r="HF21" s="14">
        <v>0.46100000000000002</v>
      </c>
      <c r="HG21" s="14">
        <v>0.60699999999999998</v>
      </c>
      <c r="HH21" s="14">
        <v>1.4510000000000001</v>
      </c>
      <c r="HI21" s="14">
        <v>0.79900000000000004</v>
      </c>
      <c r="HJ21" s="14">
        <v>0.78200000000000003</v>
      </c>
      <c r="HK21" s="14">
        <v>1.0349999999999999</v>
      </c>
      <c r="HL21" s="14">
        <v>0.54100000000000004</v>
      </c>
      <c r="HM21" s="14">
        <v>0.86399999999999999</v>
      </c>
      <c r="HN21" s="14">
        <v>1.2110000000000001</v>
      </c>
      <c r="HO21" s="14">
        <v>0.82099999999999995</v>
      </c>
      <c r="HP21" s="14">
        <v>1.401</v>
      </c>
      <c r="HQ21" s="14">
        <v>0.41199999999999998</v>
      </c>
      <c r="HR21" s="14">
        <v>0.20899999999999999</v>
      </c>
      <c r="HS21" s="14">
        <v>0.31</v>
      </c>
      <c r="HT21" s="14">
        <v>0.48899999999999999</v>
      </c>
      <c r="HU21" s="14">
        <v>1.2809999999999999</v>
      </c>
      <c r="HV21" s="14">
        <v>1.022</v>
      </c>
      <c r="HW21" s="14">
        <v>0.23300000000000001</v>
      </c>
      <c r="HX21" s="14">
        <v>8.6999999999999994E-2</v>
      </c>
      <c r="HY21" s="14">
        <v>0.187</v>
      </c>
      <c r="HZ21" s="14">
        <v>0.91900000000000004</v>
      </c>
      <c r="IA21" s="14">
        <v>1.65</v>
      </c>
      <c r="IB21" s="14">
        <v>1.1619999999999999</v>
      </c>
      <c r="IC21" s="14">
        <v>0.79900000000000004</v>
      </c>
      <c r="ID21" s="14">
        <v>1.1000000000000001</v>
      </c>
      <c r="IE21" s="14">
        <v>0.32436500000000001</v>
      </c>
      <c r="IF21" s="14">
        <v>0.48499999999999999</v>
      </c>
      <c r="IG21" s="14">
        <v>0.883996</v>
      </c>
      <c r="IH21" s="14">
        <v>3.3054320000000001</v>
      </c>
      <c r="II21" s="14">
        <v>2.34768</v>
      </c>
      <c r="IJ21" s="14">
        <v>2.6551892200000031</v>
      </c>
      <c r="IK21" s="14">
        <v>2.4313958999999978</v>
      </c>
      <c r="IL21" s="14">
        <v>2.7806483700000011</v>
      </c>
      <c r="IM21" s="14">
        <v>0.82617839000000026</v>
      </c>
      <c r="IN21" s="14">
        <v>0.91714451999999991</v>
      </c>
      <c r="IO21" s="14">
        <v>0.26862968999999998</v>
      </c>
      <c r="IP21" s="14">
        <v>0.68962034999999999</v>
      </c>
      <c r="IQ21" s="14">
        <v>0.61342663999999991</v>
      </c>
      <c r="IR21" s="14">
        <v>0.67269290999999976</v>
      </c>
      <c r="IS21" s="14">
        <v>0.30924730000000006</v>
      </c>
      <c r="IT21" s="14">
        <v>0.71087975999999997</v>
      </c>
      <c r="IU21" s="14">
        <v>3.0289505700000041</v>
      </c>
      <c r="IV21" s="14">
        <v>0.73271404999999945</v>
      </c>
      <c r="IW21" s="14">
        <v>0.60816222000000042</v>
      </c>
      <c r="IX21" s="14">
        <v>1.4716483199999995</v>
      </c>
      <c r="IY21" s="14">
        <v>2.32606738</v>
      </c>
      <c r="IZ21" s="14">
        <v>1.2508743599999999</v>
      </c>
      <c r="JA21" s="14">
        <v>1.33955742</v>
      </c>
      <c r="JB21" s="14">
        <v>1.3627830400000003</v>
      </c>
      <c r="JC21" s="14">
        <v>0.77546062999999965</v>
      </c>
      <c r="JD21" s="14">
        <v>0.35242695000000002</v>
      </c>
      <c r="JE21" s="14">
        <v>0.37328135999999995</v>
      </c>
      <c r="JF21" s="14">
        <v>2.4995059200000016</v>
      </c>
      <c r="JG21" s="14">
        <v>2.766797990000001</v>
      </c>
      <c r="JH21" s="14">
        <v>0.55460718999999981</v>
      </c>
      <c r="JI21" s="14">
        <v>0.47171683999999992</v>
      </c>
      <c r="JJ21" s="14">
        <v>0.65261201999999929</v>
      </c>
      <c r="JK21" s="14">
        <v>3.4128646999999948</v>
      </c>
      <c r="JL21" s="14">
        <v>1.4629669999999999</v>
      </c>
      <c r="JM21" s="14">
        <v>1.6486717612114798</v>
      </c>
      <c r="JN21" s="14">
        <v>1.0732130520000003</v>
      </c>
      <c r="JO21" s="14">
        <v>4.7912890330000035</v>
      </c>
      <c r="JP21" s="14">
        <v>0.86039023303501705</v>
      </c>
      <c r="JQ21" s="14">
        <v>0.66995677405233611</v>
      </c>
      <c r="JR21" s="14">
        <v>1.9513587292363537</v>
      </c>
      <c r="JS21" s="14">
        <v>3.5873709974846606</v>
      </c>
      <c r="JT21" s="14">
        <v>3.1794860480112046</v>
      </c>
      <c r="JU21" s="14">
        <v>2.9132523396997438</v>
      </c>
      <c r="JV21" s="14">
        <v>1.4247129571322672</v>
      </c>
      <c r="JW21" s="14">
        <v>1.5900683287974378</v>
      </c>
      <c r="JX21" s="14">
        <v>1.427278402288354</v>
      </c>
      <c r="JY21" s="14">
        <v>1.595978602710183</v>
      </c>
      <c r="JZ21" s="14">
        <v>0.87124131057651133</v>
      </c>
      <c r="KA21" s="14">
        <v>3.4917649792891519</v>
      </c>
      <c r="KB21" s="14">
        <v>1.7043307968620296</v>
      </c>
      <c r="KC21" s="14">
        <v>3.9135985673543869</v>
      </c>
      <c r="KD21" s="14">
        <v>11.916343437268244</v>
      </c>
      <c r="KE21" s="14">
        <v>5.6414612947001137</v>
      </c>
      <c r="KF21" s="14">
        <v>8.2203394555446962</v>
      </c>
      <c r="KG21" s="14">
        <v>3.2769148184449635</v>
      </c>
      <c r="KH21" s="14">
        <v>2.4077211403392438</v>
      </c>
      <c r="KI21" s="14">
        <v>7.7733912307156352</v>
      </c>
      <c r="KJ21" s="14">
        <v>3.0640021171763645</v>
      </c>
      <c r="KK21" s="14">
        <v>3.4188265793711654</v>
      </c>
      <c r="KL21" s="14">
        <v>4.3412535742773883</v>
      </c>
      <c r="KM21" s="14">
        <v>1.3905447786373537</v>
      </c>
      <c r="KN21" s="14">
        <v>1.7431339658212122</v>
      </c>
      <c r="KO21" s="14">
        <v>1.9135621308682906</v>
      </c>
      <c r="KP21" s="14">
        <v>5.8573114700000612</v>
      </c>
      <c r="KQ21" s="14">
        <v>2.5746757335925912</v>
      </c>
      <c r="KR21" s="14">
        <v>2.5299681859794614</v>
      </c>
      <c r="KS21" s="14">
        <v>1.9988294902202053</v>
      </c>
      <c r="KT21" s="14">
        <v>2.3425495904124016</v>
      </c>
      <c r="KU21" s="14">
        <v>5.5551032407010101</v>
      </c>
      <c r="KV21" s="14">
        <v>4.5990560832269942</v>
      </c>
      <c r="KW21" s="14">
        <v>1.6063295539469842</v>
      </c>
      <c r="KX21" s="14">
        <v>4.3886815921827571</v>
      </c>
      <c r="KY21" s="14">
        <v>2.9014665984400509</v>
      </c>
      <c r="KZ21" s="14">
        <v>1.5182967488069163</v>
      </c>
      <c r="LA21" s="14">
        <v>15.643642563802443</v>
      </c>
      <c r="LB21" s="14">
        <v>9.787022127988779</v>
      </c>
      <c r="LC21" s="14">
        <v>9.2247410117528919</v>
      </c>
      <c r="LD21" s="14">
        <v>7.4118106105462092</v>
      </c>
      <c r="LE21" s="14">
        <v>6.2296260262118661</v>
      </c>
      <c r="LF21" s="14">
        <v>4.2212417867076679</v>
      </c>
      <c r="LG21" s="14">
        <v>10.293278983448511</v>
      </c>
      <c r="LH21" s="14">
        <v>10.984832884638921</v>
      </c>
      <c r="LI21" s="14">
        <v>22.957099086424417</v>
      </c>
      <c r="LJ21" s="14">
        <v>14.791420969371467</v>
      </c>
      <c r="LK21" s="14">
        <v>8.0468545298682255</v>
      </c>
      <c r="LL21" s="14">
        <v>0.6137499895911106</v>
      </c>
      <c r="LM21" s="14">
        <v>15.242593695740682</v>
      </c>
      <c r="LN21" s="14">
        <v>13.389145008371315</v>
      </c>
      <c r="LO21" s="14">
        <v>9.4340656700000025</v>
      </c>
      <c r="LP21" s="14">
        <v>4.1430767199999998</v>
      </c>
      <c r="LQ21" s="14">
        <v>1.3331275300000012</v>
      </c>
      <c r="LR21" s="14">
        <v>1.8277890899999987</v>
      </c>
      <c r="LS21" s="14">
        <v>2.1517013100000031</v>
      </c>
      <c r="LT21" s="14">
        <v>5.1309082099999994</v>
      </c>
      <c r="LU21" s="149"/>
    </row>
    <row r="22" spans="1:333" x14ac:dyDescent="0.3">
      <c r="A22" s="2" t="s">
        <v>14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4">
        <v>0</v>
      </c>
      <c r="AB22" s="14">
        <v>0</v>
      </c>
      <c r="AC22" s="14">
        <v>0</v>
      </c>
      <c r="AD22" s="14">
        <v>0</v>
      </c>
      <c r="AE22" s="14">
        <v>0</v>
      </c>
      <c r="AF22" s="14">
        <v>0</v>
      </c>
      <c r="AG22" s="14">
        <v>0</v>
      </c>
      <c r="AH22" s="14">
        <v>0</v>
      </c>
      <c r="AI22" s="14">
        <v>0</v>
      </c>
      <c r="AJ22" s="14">
        <v>0</v>
      </c>
      <c r="AK22" s="14">
        <v>0</v>
      </c>
      <c r="AL22" s="14">
        <v>0</v>
      </c>
      <c r="AM22" s="14">
        <v>0</v>
      </c>
      <c r="AN22" s="14">
        <v>0</v>
      </c>
      <c r="AO22" s="14">
        <v>0</v>
      </c>
      <c r="AP22" s="14">
        <v>0</v>
      </c>
      <c r="AQ22" s="14">
        <v>0</v>
      </c>
      <c r="AR22" s="14">
        <v>0</v>
      </c>
      <c r="AS22" s="14">
        <v>0.33683333333333332</v>
      </c>
      <c r="AT22" s="14">
        <v>0.33683333333333332</v>
      </c>
      <c r="AU22" s="14">
        <v>0.33683333333333332</v>
      </c>
      <c r="AV22" s="14">
        <v>0.33683333333333332</v>
      </c>
      <c r="AW22" s="14">
        <v>0.33683333333333332</v>
      </c>
      <c r="AX22" s="14">
        <v>0.33683333333333332</v>
      </c>
      <c r="AY22" s="14">
        <v>0.33683333333333332</v>
      </c>
      <c r="AZ22" s="14">
        <v>0.33683333333333332</v>
      </c>
      <c r="BA22" s="14">
        <v>0.33683333333333332</v>
      </c>
      <c r="BB22" s="14">
        <v>0.33683333333333332</v>
      </c>
      <c r="BC22" s="14">
        <v>0.33683333333333332</v>
      </c>
      <c r="BD22" s="14">
        <v>0.33683333333333332</v>
      </c>
      <c r="BE22" s="14">
        <v>0.5571666666666667</v>
      </c>
      <c r="BF22" s="14">
        <v>0.5571666666666667</v>
      </c>
      <c r="BG22" s="14">
        <v>0.5571666666666667</v>
      </c>
      <c r="BH22" s="14">
        <v>0.5571666666666667</v>
      </c>
      <c r="BI22" s="14">
        <v>0.5571666666666667</v>
      </c>
      <c r="BJ22" s="14">
        <v>0.5571666666666667</v>
      </c>
      <c r="BK22" s="14">
        <v>0.22900000000000001</v>
      </c>
      <c r="BL22" s="14">
        <v>0.17200000000000001</v>
      </c>
      <c r="BM22" s="14">
        <v>0.247</v>
      </c>
      <c r="BN22" s="14">
        <v>0.187</v>
      </c>
      <c r="BO22" s="14">
        <v>0.47100000000000003</v>
      </c>
      <c r="BP22" s="14">
        <v>0.55800000000000005</v>
      </c>
      <c r="BQ22" s="14">
        <v>0.58499999999999996</v>
      </c>
      <c r="BR22" s="14">
        <v>0.72499999999999998</v>
      </c>
      <c r="BS22" s="14">
        <v>0.74399999999999999</v>
      </c>
      <c r="BT22" s="14">
        <v>0.56400000000000006</v>
      </c>
      <c r="BU22" s="14">
        <v>0.505</v>
      </c>
      <c r="BV22" s="14">
        <v>0.26500000000000001</v>
      </c>
      <c r="BW22" s="14">
        <v>0.23800000000000002</v>
      </c>
      <c r="BX22" s="14">
        <v>0.25700000000000001</v>
      </c>
      <c r="BY22" s="14">
        <v>0.442</v>
      </c>
      <c r="BZ22" s="14">
        <v>0.63908469999999995</v>
      </c>
      <c r="CA22" s="14">
        <v>0.58499999999999996</v>
      </c>
      <c r="CB22" s="14">
        <v>0.70399999999999996</v>
      </c>
      <c r="CC22" s="14">
        <v>0.752</v>
      </c>
      <c r="CD22" s="14">
        <v>0.80400000000000005</v>
      </c>
      <c r="CE22" s="14">
        <v>0.74099999999999999</v>
      </c>
      <c r="CF22" s="14">
        <v>0.751</v>
      </c>
      <c r="CG22" s="14">
        <v>0.34800000000000003</v>
      </c>
      <c r="CH22" s="14">
        <v>0.55500000000000005</v>
      </c>
      <c r="CI22" s="14">
        <v>1.27</v>
      </c>
      <c r="CJ22" s="14">
        <v>0.61199999999999999</v>
      </c>
      <c r="CK22" s="14">
        <v>0.32900000000000001</v>
      </c>
      <c r="CL22" s="14">
        <v>0.66100000000000003</v>
      </c>
      <c r="CM22" s="14">
        <v>0.83399999999999996</v>
      </c>
      <c r="CN22" s="14">
        <v>0.60199999999999998</v>
      </c>
      <c r="CO22" s="14">
        <v>0.56100000000000005</v>
      </c>
      <c r="CP22" s="14">
        <v>0.434</v>
      </c>
      <c r="CQ22" s="14">
        <v>0.65100000000000002</v>
      </c>
      <c r="CR22" s="14">
        <v>0.59899999999999998</v>
      </c>
      <c r="CS22" s="14">
        <v>0.85799999999999998</v>
      </c>
      <c r="CT22" s="14">
        <v>0.63600000000000001</v>
      </c>
      <c r="CU22" s="14">
        <v>0.57899999999999996</v>
      </c>
      <c r="CV22" s="14">
        <v>0.64</v>
      </c>
      <c r="CW22" s="14">
        <v>0.85699999999999998</v>
      </c>
      <c r="CX22" s="14">
        <v>0.57200000000000006</v>
      </c>
      <c r="CY22" s="14">
        <v>0</v>
      </c>
      <c r="CZ22" s="14">
        <v>0.33200000000000002</v>
      </c>
      <c r="DA22" s="14">
        <v>0.8</v>
      </c>
      <c r="DB22" s="14">
        <v>0.93</v>
      </c>
      <c r="DC22" s="14">
        <v>1.03</v>
      </c>
      <c r="DD22" s="14">
        <v>0.87</v>
      </c>
      <c r="DE22" s="14">
        <v>0.92</v>
      </c>
      <c r="DF22" s="14">
        <v>0.76</v>
      </c>
      <c r="DG22" s="14">
        <v>0.70899999999999996</v>
      </c>
      <c r="DH22" s="14">
        <v>0.83399999999999996</v>
      </c>
      <c r="DI22" s="14">
        <v>0.81800000000000006</v>
      </c>
      <c r="DJ22" s="14">
        <v>0.98499999999999999</v>
      </c>
      <c r="DK22" s="14">
        <v>1.7390000000000001</v>
      </c>
      <c r="DL22" s="14">
        <v>1.1359999999999999</v>
      </c>
      <c r="DM22" s="14">
        <v>1.052</v>
      </c>
      <c r="DN22" s="14">
        <v>1.044</v>
      </c>
      <c r="DO22" s="14">
        <v>1.252</v>
      </c>
      <c r="DP22" s="14">
        <v>1.2</v>
      </c>
      <c r="DQ22" s="14">
        <v>1.3640000000000001</v>
      </c>
      <c r="DR22" s="14">
        <v>1.0880000000000001</v>
      </c>
      <c r="DS22" s="14">
        <v>1.0760000000000001</v>
      </c>
      <c r="DT22" s="14">
        <v>1.304</v>
      </c>
      <c r="DU22" s="14">
        <v>1.1919999999999999</v>
      </c>
      <c r="DV22" s="14">
        <v>1.333</v>
      </c>
      <c r="DW22" s="14">
        <v>1.014</v>
      </c>
      <c r="DX22" s="14">
        <v>1.393</v>
      </c>
      <c r="DY22" s="14">
        <v>1.3440000000000001</v>
      </c>
      <c r="DZ22" s="14">
        <v>1.66</v>
      </c>
      <c r="EA22" s="14">
        <v>1.4650000000000001</v>
      </c>
      <c r="EB22" s="14">
        <v>1.2849999999999999</v>
      </c>
      <c r="EC22" s="14">
        <v>1.571</v>
      </c>
      <c r="ED22" s="14">
        <v>1.27</v>
      </c>
      <c r="EE22" s="14">
        <v>1.43</v>
      </c>
      <c r="EF22" s="14">
        <v>1.357</v>
      </c>
      <c r="EG22" s="14">
        <v>1.3109999999999999</v>
      </c>
      <c r="EH22" s="14">
        <v>1.218</v>
      </c>
      <c r="EI22" s="14">
        <v>1.0960000000000001</v>
      </c>
      <c r="EJ22" s="14">
        <v>0.56100000000000005</v>
      </c>
      <c r="EK22" s="14">
        <v>1.2549999999999999</v>
      </c>
      <c r="EL22" s="14">
        <v>1.49</v>
      </c>
      <c r="EM22" s="14">
        <v>1.37</v>
      </c>
      <c r="EN22" s="14">
        <v>2.024</v>
      </c>
      <c r="EO22" s="14">
        <v>2.2650000000000001</v>
      </c>
      <c r="EP22" s="14">
        <v>1.663</v>
      </c>
      <c r="EQ22" s="14">
        <v>1.1539999999999999</v>
      </c>
      <c r="ER22" s="14">
        <v>2.2450000000000001</v>
      </c>
      <c r="ES22" s="14">
        <v>2.9079999999999999</v>
      </c>
      <c r="ET22" s="14">
        <v>1.859</v>
      </c>
      <c r="EU22" s="14">
        <v>1.774</v>
      </c>
      <c r="EV22" s="14">
        <v>1.6519999999999999</v>
      </c>
      <c r="EW22" s="14">
        <v>1.8280000000000001</v>
      </c>
      <c r="EX22" s="14">
        <v>3.093</v>
      </c>
      <c r="EY22" s="14">
        <v>2.7040000000000002</v>
      </c>
      <c r="EZ22" s="14">
        <v>2.411</v>
      </c>
      <c r="FA22" s="14">
        <v>2.786</v>
      </c>
      <c r="FB22" s="14">
        <v>2.7429999999999999</v>
      </c>
      <c r="FC22" s="14">
        <v>2.4980000000000002</v>
      </c>
      <c r="FD22" s="14">
        <v>2.5529999999999999</v>
      </c>
      <c r="FE22" s="14">
        <v>2.3170000000000002</v>
      </c>
      <c r="FF22" s="14">
        <v>2.3450000000000002</v>
      </c>
      <c r="FG22" s="14">
        <v>2.371</v>
      </c>
      <c r="FH22" s="14">
        <v>2.15</v>
      </c>
      <c r="FI22" s="14">
        <v>2.0741543433615468</v>
      </c>
      <c r="FJ22" s="14">
        <v>2.9320543784107915</v>
      </c>
      <c r="FK22" s="14">
        <v>2.7947637328994173</v>
      </c>
      <c r="FL22" s="14">
        <v>2.7939074502870804</v>
      </c>
      <c r="FM22" s="14">
        <v>2.9411880596090536</v>
      </c>
      <c r="FN22" s="14">
        <v>2.7579435805689241</v>
      </c>
      <c r="FO22" s="14">
        <v>2.9688269594850438</v>
      </c>
      <c r="FP22" s="14">
        <v>2.9112657394334978</v>
      </c>
      <c r="FQ22" s="14">
        <v>2.6015768613049306</v>
      </c>
      <c r="FR22" s="14">
        <v>3.1967884193916642</v>
      </c>
      <c r="FS22" s="14">
        <v>2.9987017084043592</v>
      </c>
      <c r="FT22" s="14">
        <v>2.8248287668436962</v>
      </c>
      <c r="FU22" s="14">
        <v>2.5449999999999999</v>
      </c>
      <c r="FV22" s="14">
        <v>2.895</v>
      </c>
      <c r="FW22" s="14">
        <v>2.621</v>
      </c>
      <c r="FX22" s="14">
        <v>2.4700000000000002</v>
      </c>
      <c r="FY22" s="14">
        <v>3.0739999999999998</v>
      </c>
      <c r="FZ22" s="14">
        <v>2.738</v>
      </c>
      <c r="GA22" s="14">
        <v>2.5950000000000002</v>
      </c>
      <c r="GB22" s="14">
        <v>3.14</v>
      </c>
      <c r="GC22" s="14">
        <v>3.0089999999999999</v>
      </c>
      <c r="GD22" s="14">
        <v>2.677</v>
      </c>
      <c r="GE22" s="14">
        <v>1.978</v>
      </c>
      <c r="GF22" s="14">
        <v>2.1659999999999999</v>
      </c>
      <c r="GG22" s="14">
        <v>3.0019999999999998</v>
      </c>
      <c r="GH22" s="14">
        <v>2.7669999999999999</v>
      </c>
      <c r="GI22" s="14">
        <v>3.2210000000000001</v>
      </c>
      <c r="GJ22" s="14">
        <v>2.165</v>
      </c>
      <c r="GK22" s="14">
        <v>3.105</v>
      </c>
      <c r="GL22" s="14">
        <v>2.7839999999999998</v>
      </c>
      <c r="GM22" s="14">
        <v>3.544</v>
      </c>
      <c r="GN22" s="14">
        <v>3.7029999999999998</v>
      </c>
      <c r="GO22" s="14">
        <v>3.0339999999999998</v>
      </c>
      <c r="GP22" s="14">
        <v>3.0089999999999999</v>
      </c>
      <c r="GQ22" s="14">
        <v>3.2730000000000001</v>
      </c>
      <c r="GR22" s="14">
        <v>1.72</v>
      </c>
      <c r="GS22" s="14">
        <v>3.7080000000000002</v>
      </c>
      <c r="GT22" s="14">
        <v>3.2559999999999998</v>
      </c>
      <c r="GU22" s="14">
        <v>2.492</v>
      </c>
      <c r="GV22" s="14">
        <v>3.9279999999999999</v>
      </c>
      <c r="GW22" s="14">
        <v>4.5229999999999997</v>
      </c>
      <c r="GX22" s="14">
        <v>2.7930000000000001</v>
      </c>
      <c r="GY22" s="14">
        <v>3.7669999999999999</v>
      </c>
      <c r="GZ22" s="14">
        <v>4.87</v>
      </c>
      <c r="HA22" s="14">
        <v>3.8620000000000001</v>
      </c>
      <c r="HB22" s="14">
        <v>4.1740000000000004</v>
      </c>
      <c r="HC22" s="14">
        <v>6.3360000000000003</v>
      </c>
      <c r="HD22" s="14">
        <v>2.7719999999999998</v>
      </c>
      <c r="HE22" s="14">
        <v>3.0670000000000002</v>
      </c>
      <c r="HF22" s="14">
        <v>4.431</v>
      </c>
      <c r="HG22" s="14">
        <v>3.5329999999999999</v>
      </c>
      <c r="HH22" s="14">
        <v>3.5430000000000001</v>
      </c>
      <c r="HI22" s="14">
        <v>3.88</v>
      </c>
      <c r="HJ22" s="14">
        <v>4.3019999999999996</v>
      </c>
      <c r="HK22" s="14">
        <v>4.2160000000000002</v>
      </c>
      <c r="HL22" s="14">
        <v>4.4690000000000003</v>
      </c>
      <c r="HM22" s="14">
        <v>4.4450000000000003</v>
      </c>
      <c r="HN22" s="14">
        <v>3.452</v>
      </c>
      <c r="HO22" s="14">
        <v>4.1189999999999998</v>
      </c>
      <c r="HP22" s="14">
        <v>3.4409999999999998</v>
      </c>
      <c r="HQ22" s="14">
        <v>3.5750000000000002</v>
      </c>
      <c r="HR22" s="14">
        <v>4.3360000000000003</v>
      </c>
      <c r="HS22" s="14">
        <v>4.4489999999999998</v>
      </c>
      <c r="HT22" s="14">
        <v>2.87</v>
      </c>
      <c r="HU22" s="14">
        <v>4.3140000000000001</v>
      </c>
      <c r="HV22" s="14">
        <v>5.4939999999999998</v>
      </c>
      <c r="HW22" s="14">
        <v>4.1399999999999997</v>
      </c>
      <c r="HX22" s="14">
        <v>4.3209999999999997</v>
      </c>
      <c r="HY22" s="14">
        <v>3.629</v>
      </c>
      <c r="HZ22" s="14">
        <v>3.194</v>
      </c>
      <c r="IA22" s="14">
        <v>3.3420000000000001</v>
      </c>
      <c r="IB22" s="14">
        <v>2.8889999999999998</v>
      </c>
      <c r="IC22" s="14">
        <v>3.8849999999999998</v>
      </c>
      <c r="ID22" s="14">
        <v>4.4530000000000003</v>
      </c>
      <c r="IE22" s="14">
        <v>3.861065</v>
      </c>
      <c r="IF22" s="14">
        <v>3.68</v>
      </c>
      <c r="IG22" s="14">
        <v>5.5025029999999999</v>
      </c>
      <c r="IH22" s="14">
        <v>4.9409710000000002</v>
      </c>
      <c r="II22" s="14">
        <v>5.4777420000000001</v>
      </c>
      <c r="IJ22" s="14">
        <v>5.1658372599999973</v>
      </c>
      <c r="IK22" s="14">
        <v>4.6086177599999996</v>
      </c>
      <c r="IL22" s="14">
        <v>4.0326339599999983</v>
      </c>
      <c r="IM22" s="14">
        <v>3.5755944799999986</v>
      </c>
      <c r="IN22" s="14">
        <v>3.2924509299999989</v>
      </c>
      <c r="IO22" s="14">
        <v>4.7216852499999984</v>
      </c>
      <c r="IP22" s="14">
        <v>4.9112810600000012</v>
      </c>
      <c r="IQ22" s="14">
        <v>4.353973540000001</v>
      </c>
      <c r="IR22" s="14">
        <v>3.6782689100000003</v>
      </c>
      <c r="IS22" s="14">
        <v>6.1021259899999976</v>
      </c>
      <c r="IT22" s="14">
        <v>5.6292797699999975</v>
      </c>
      <c r="IU22" s="14">
        <v>4.8384947299999999</v>
      </c>
      <c r="IV22" s="14">
        <v>4.9690496199999972</v>
      </c>
      <c r="IW22" s="14">
        <v>3.7097635799999984</v>
      </c>
      <c r="IX22" s="14">
        <v>3.5626751799999998</v>
      </c>
      <c r="IY22" s="14">
        <v>3.2532321499999952</v>
      </c>
      <c r="IZ22" s="14">
        <v>2.9448344200000025</v>
      </c>
      <c r="JA22" s="14">
        <v>4.5531080499999952</v>
      </c>
      <c r="JB22" s="14">
        <v>5.1883508199999975</v>
      </c>
      <c r="JC22" s="14">
        <v>4.4386392099999963</v>
      </c>
      <c r="JD22" s="14">
        <v>3.1031642800000037</v>
      </c>
      <c r="JE22" s="14">
        <v>6.2588146100000026</v>
      </c>
      <c r="JF22" s="14">
        <v>6.171686730000002</v>
      </c>
      <c r="JG22" s="14">
        <v>5.1410196999999975</v>
      </c>
      <c r="JH22" s="14">
        <v>4.9293979700000019</v>
      </c>
      <c r="JI22" s="14">
        <v>4.7016077700000007</v>
      </c>
      <c r="JJ22" s="14">
        <v>4.3596807099999966</v>
      </c>
      <c r="JK22" s="14">
        <v>3.960072469999997</v>
      </c>
      <c r="JL22" s="14">
        <v>3.9968428499999988</v>
      </c>
      <c r="JM22" s="14">
        <v>5.4185761230000065</v>
      </c>
      <c r="JN22" s="14">
        <v>6.2805659479999925</v>
      </c>
      <c r="JO22" s="14">
        <v>4.481075348000001</v>
      </c>
      <c r="JP22" s="14">
        <v>4.3404498739544763</v>
      </c>
      <c r="JQ22" s="14">
        <v>6.0211768707684614</v>
      </c>
      <c r="JR22" s="14">
        <v>5.4151071866370852</v>
      </c>
      <c r="JS22" s="14">
        <v>5.3704851054611265</v>
      </c>
      <c r="JT22" s="14">
        <v>4.85921806434947</v>
      </c>
      <c r="JU22" s="14">
        <v>4.0586113289999997</v>
      </c>
      <c r="JV22" s="14">
        <v>3.8323799387626174</v>
      </c>
      <c r="JW22" s="14">
        <v>3.6829481685056455</v>
      </c>
      <c r="JX22" s="14">
        <v>3.7322936518816343</v>
      </c>
      <c r="JY22" s="14">
        <v>5.0377045747677123</v>
      </c>
      <c r="JZ22" s="14">
        <v>5.7613058898717844</v>
      </c>
      <c r="KA22" s="14">
        <v>3.8831450650480015</v>
      </c>
      <c r="KB22" s="14">
        <v>3.660803452443155</v>
      </c>
      <c r="KC22" s="14">
        <v>6.0777548797255907</v>
      </c>
      <c r="KD22" s="14">
        <v>5.3237539133809362</v>
      </c>
      <c r="KE22" s="14">
        <v>5.4760636501347122</v>
      </c>
      <c r="KF22" s="14">
        <v>3.9292854604849841</v>
      </c>
      <c r="KG22" s="14">
        <v>3.3528411855848819</v>
      </c>
      <c r="KH22" s="14">
        <v>3.0602945057653583</v>
      </c>
      <c r="KI22" s="14">
        <v>3.1122348706380865</v>
      </c>
      <c r="KJ22" s="14">
        <v>2.7662824361619216</v>
      </c>
      <c r="KK22" s="14">
        <v>3.8717320767524424</v>
      </c>
      <c r="KL22" s="14">
        <v>4.716138230959614</v>
      </c>
      <c r="KM22" s="14">
        <v>3.9336878403902094</v>
      </c>
      <c r="KN22" s="14">
        <v>3.3811950481645701</v>
      </c>
      <c r="KO22" s="14">
        <v>5.3259677369999983</v>
      </c>
      <c r="KP22" s="14">
        <v>6.1758727579999988</v>
      </c>
      <c r="KQ22" s="14">
        <v>5.4767880910950524</v>
      </c>
      <c r="KR22" s="14">
        <v>3.8979447259752082</v>
      </c>
      <c r="KS22" s="14">
        <v>3.4328108041886076</v>
      </c>
      <c r="KT22" s="14">
        <v>4.1157520693714416</v>
      </c>
      <c r="KU22" s="14">
        <v>3.7095732022719132</v>
      </c>
      <c r="KV22" s="14">
        <v>3.6117429840513591</v>
      </c>
      <c r="KW22" s="14">
        <v>4.3092064576424942</v>
      </c>
      <c r="KX22" s="14">
        <v>4.9680368520000018</v>
      </c>
      <c r="KY22" s="14">
        <v>4.4379536326457698</v>
      </c>
      <c r="KZ22" s="14">
        <v>4.029317564526858</v>
      </c>
      <c r="LA22" s="14">
        <v>5.7273090877546862</v>
      </c>
      <c r="LB22" s="14">
        <v>5.8613375578147968</v>
      </c>
      <c r="LC22" s="14">
        <v>5.3181173894227323</v>
      </c>
      <c r="LD22" s="14">
        <v>5.5297772734769595</v>
      </c>
      <c r="LE22" s="14">
        <v>4.4612842139679216</v>
      </c>
      <c r="LF22" s="14">
        <v>4.6522017708727912</v>
      </c>
      <c r="LG22" s="14">
        <v>3.7459679710882363</v>
      </c>
      <c r="LH22" s="14">
        <v>4.6793202184207461</v>
      </c>
      <c r="LI22" s="14">
        <v>4.0375454041847343</v>
      </c>
      <c r="LJ22" s="14">
        <v>5.5438719258889364</v>
      </c>
      <c r="LK22" s="14">
        <v>6.6725227591298735</v>
      </c>
      <c r="LL22" s="14">
        <v>4.93576573269163</v>
      </c>
      <c r="LM22" s="14">
        <v>6.0618837021054297</v>
      </c>
      <c r="LN22" s="14">
        <v>6.2216598734524471</v>
      </c>
      <c r="LO22" s="14">
        <v>6.4671973599999948</v>
      </c>
      <c r="LP22" s="14">
        <v>3.5829676600000013</v>
      </c>
      <c r="LQ22" s="14">
        <v>4.5263461000000023</v>
      </c>
      <c r="LR22" s="14">
        <v>4.9980753599999979</v>
      </c>
      <c r="LS22" s="14">
        <v>4.1537375200000053</v>
      </c>
      <c r="LT22" s="14">
        <v>3.6918055699999965</v>
      </c>
      <c r="LU22" s="149"/>
    </row>
    <row r="23" spans="1:333" x14ac:dyDescent="0.3">
      <c r="A23" s="2" t="s">
        <v>15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4">
        <v>0.76543600000000001</v>
      </c>
      <c r="AB23" s="14">
        <v>0.34614299999999998</v>
      </c>
      <c r="AC23" s="14">
        <v>0.61940799999999996</v>
      </c>
      <c r="AD23" s="14">
        <v>0.43098700000000001</v>
      </c>
      <c r="AE23" s="14">
        <v>0.46382699999999999</v>
      </c>
      <c r="AF23" s="14">
        <v>0.51455600000000001</v>
      </c>
      <c r="AG23" s="14">
        <v>0.5</v>
      </c>
      <c r="AH23" s="14">
        <v>0.5</v>
      </c>
      <c r="AI23" s="14">
        <v>0.5</v>
      </c>
      <c r="AJ23" s="14">
        <v>0.5</v>
      </c>
      <c r="AK23" s="14">
        <v>0.5</v>
      </c>
      <c r="AL23" s="14">
        <v>0.5</v>
      </c>
      <c r="AM23" s="14">
        <v>0</v>
      </c>
      <c r="AN23" s="14">
        <v>0</v>
      </c>
      <c r="AO23" s="14">
        <v>0</v>
      </c>
      <c r="AP23" s="14">
        <v>0</v>
      </c>
      <c r="AQ23" s="14">
        <v>0</v>
      </c>
      <c r="AR23" s="14">
        <v>0</v>
      </c>
      <c r="AS23" s="14">
        <v>0</v>
      </c>
      <c r="AT23" s="14">
        <v>0</v>
      </c>
      <c r="AU23" s="14">
        <v>0</v>
      </c>
      <c r="AV23" s="14">
        <v>0</v>
      </c>
      <c r="AW23" s="14">
        <v>0</v>
      </c>
      <c r="AX23" s="14">
        <v>0</v>
      </c>
      <c r="AY23" s="14">
        <v>0.91918674448560633</v>
      </c>
      <c r="AZ23" s="14">
        <v>0.62217016439384953</v>
      </c>
      <c r="BA23" s="14">
        <v>0.51386072109766001</v>
      </c>
      <c r="BB23" s="14">
        <v>0.40588953113225235</v>
      </c>
      <c r="BC23" s="14">
        <v>0.36185695577682403</v>
      </c>
      <c r="BD23" s="14">
        <v>0.39708372443593104</v>
      </c>
      <c r="BE23" s="14">
        <v>0</v>
      </c>
      <c r="BF23" s="14">
        <v>0</v>
      </c>
      <c r="BG23" s="14">
        <v>0</v>
      </c>
      <c r="BH23" s="14">
        <v>0</v>
      </c>
      <c r="BI23" s="14">
        <v>0</v>
      </c>
      <c r="BJ23" s="14">
        <v>0</v>
      </c>
      <c r="BK23" s="14">
        <v>0.91918674448560633</v>
      </c>
      <c r="BL23" s="14">
        <v>0.62217016439384953</v>
      </c>
      <c r="BM23" s="14">
        <v>0.51386072109766001</v>
      </c>
      <c r="BN23" s="14">
        <v>0.40588953113225235</v>
      </c>
      <c r="BO23" s="14">
        <v>1.4379999999999999</v>
      </c>
      <c r="BP23" s="14">
        <v>2.165</v>
      </c>
      <c r="BQ23" s="14">
        <v>0</v>
      </c>
      <c r="BR23" s="14">
        <v>0</v>
      </c>
      <c r="BS23" s="14">
        <v>0.52900000000000003</v>
      </c>
      <c r="BT23" s="14">
        <v>1.2609999999999999</v>
      </c>
      <c r="BU23" s="14">
        <v>1.5209999999999999</v>
      </c>
      <c r="BV23" s="14">
        <v>1.1240000000000001</v>
      </c>
      <c r="BW23" s="14">
        <v>0.876</v>
      </c>
      <c r="BX23" s="14">
        <v>0.36099999999999999</v>
      </c>
      <c r="BY23" s="14">
        <v>0.79700000000000004</v>
      </c>
      <c r="BZ23" s="14">
        <v>0.40562367999999999</v>
      </c>
      <c r="CA23" s="14">
        <v>0.81400000000000006</v>
      </c>
      <c r="CB23" s="14">
        <v>0.79200000000000004</v>
      </c>
      <c r="CC23" s="14">
        <v>0.72699999999999998</v>
      </c>
      <c r="CD23" s="14">
        <v>0.73899999999999999</v>
      </c>
      <c r="CE23" s="14">
        <v>1.5309999999999999</v>
      </c>
      <c r="CF23" s="14">
        <v>0.92600000000000005</v>
      </c>
      <c r="CG23" s="14">
        <v>0.97299999999999998</v>
      </c>
      <c r="CH23" s="14">
        <v>0.63200000000000001</v>
      </c>
      <c r="CI23" s="14">
        <v>0.82799999999999996</v>
      </c>
      <c r="CJ23" s="14">
        <v>1.1459999999999999</v>
      </c>
      <c r="CK23" s="14">
        <v>1.3049999999999999</v>
      </c>
      <c r="CL23" s="14">
        <v>1.2070000000000001</v>
      </c>
      <c r="CM23" s="14">
        <v>1.284</v>
      </c>
      <c r="CN23" s="14">
        <v>5.0000000000000001E-3</v>
      </c>
      <c r="CO23" s="14">
        <v>1.0289999999999999</v>
      </c>
      <c r="CP23" s="14">
        <v>1.482</v>
      </c>
      <c r="CQ23" s="14">
        <v>1.6180000000000001</v>
      </c>
      <c r="CR23" s="14">
        <v>0.63800000000000001</v>
      </c>
      <c r="CS23" s="14">
        <v>0.67900000000000005</v>
      </c>
      <c r="CT23" s="14">
        <v>0.65200000000000002</v>
      </c>
      <c r="CU23" s="14">
        <v>0.64200000000000002</v>
      </c>
      <c r="CV23" s="14">
        <v>0.53</v>
      </c>
      <c r="CW23" s="14">
        <v>0.71</v>
      </c>
      <c r="CX23" s="14">
        <v>0.56000000000000005</v>
      </c>
      <c r="CY23" s="14">
        <v>0.58899999999999997</v>
      </c>
      <c r="CZ23" s="14">
        <v>0.502</v>
      </c>
      <c r="DA23" s="14">
        <v>0.43969999999999998</v>
      </c>
      <c r="DB23" s="14">
        <v>0.46200000000000002</v>
      </c>
      <c r="DC23" s="14">
        <v>0.79</v>
      </c>
      <c r="DD23" s="14">
        <v>0.92900000000000005</v>
      </c>
      <c r="DE23" s="14">
        <v>0.92100000000000004</v>
      </c>
      <c r="DF23" s="14">
        <v>0.82600000000000007</v>
      </c>
      <c r="DG23" s="14">
        <v>0.86</v>
      </c>
      <c r="DH23" s="14">
        <v>0.77</v>
      </c>
      <c r="DI23" s="14">
        <v>0.92</v>
      </c>
      <c r="DJ23" s="14">
        <v>0.73</v>
      </c>
      <c r="DK23" s="14">
        <v>0.83899999999999997</v>
      </c>
      <c r="DL23" s="14">
        <v>0.876</v>
      </c>
      <c r="DM23" s="14">
        <v>0.93899999999999995</v>
      </c>
      <c r="DN23" s="14">
        <v>1.052</v>
      </c>
      <c r="DO23" s="14">
        <v>1.0649999999999999</v>
      </c>
      <c r="DP23" s="14">
        <v>1.127</v>
      </c>
      <c r="DQ23" s="14">
        <v>1.0329999999999999</v>
      </c>
      <c r="DR23" s="14">
        <v>0.90500000000000003</v>
      </c>
      <c r="DS23" s="14">
        <v>1.3859999999999999</v>
      </c>
      <c r="DT23" s="14">
        <v>1.867</v>
      </c>
      <c r="DU23" s="14">
        <v>0.878</v>
      </c>
      <c r="DV23" s="14">
        <v>0.71499999999999997</v>
      </c>
      <c r="DW23" s="14">
        <v>0</v>
      </c>
      <c r="DX23" s="14">
        <v>0</v>
      </c>
      <c r="DY23" s="14">
        <v>0.66800000000000004</v>
      </c>
      <c r="DZ23" s="14">
        <v>0.59</v>
      </c>
      <c r="EA23" s="14">
        <v>1.9E-2</v>
      </c>
      <c r="EB23" s="14">
        <v>0.13300000000000001</v>
      </c>
      <c r="EC23" s="14">
        <v>0.16700000000000001</v>
      </c>
      <c r="ED23" s="14">
        <v>0.82799999999999996</v>
      </c>
      <c r="EE23" s="14">
        <v>4.8000000000000001E-2</v>
      </c>
      <c r="EF23" s="14">
        <v>3.9E-2</v>
      </c>
      <c r="EG23" s="14">
        <v>0.752</v>
      </c>
      <c r="EH23" s="14">
        <v>0.71099999999999997</v>
      </c>
      <c r="EI23" s="14">
        <v>0.73699999999999999</v>
      </c>
      <c r="EJ23" s="14">
        <v>0.80600000000000005</v>
      </c>
      <c r="EK23" s="14">
        <v>0.79</v>
      </c>
      <c r="EL23" s="14">
        <v>1.107</v>
      </c>
      <c r="EM23" s="14">
        <v>0.81200000000000006</v>
      </c>
      <c r="EN23" s="14">
        <v>0.85699999999999998</v>
      </c>
      <c r="EO23" s="14">
        <v>0.92200000000000004</v>
      </c>
      <c r="EP23" s="14">
        <v>4.109</v>
      </c>
      <c r="EQ23" s="14">
        <v>4.4880000000000004</v>
      </c>
      <c r="ER23" s="14">
        <v>3.387</v>
      </c>
      <c r="ES23" s="14">
        <v>3.3460000000000001</v>
      </c>
      <c r="ET23" s="14">
        <v>3.5230000000000001</v>
      </c>
      <c r="EU23" s="14">
        <v>3.528</v>
      </c>
      <c r="EV23" s="14">
        <v>3.5609999999999999</v>
      </c>
      <c r="EW23" s="14">
        <v>1.6479999999999999</v>
      </c>
      <c r="EX23" s="14">
        <v>1.8979999999999999</v>
      </c>
      <c r="EY23" s="14">
        <v>1.869</v>
      </c>
      <c r="EZ23" s="14">
        <v>2.1840000000000002</v>
      </c>
      <c r="FA23" s="14">
        <v>1.976</v>
      </c>
      <c r="FB23" s="14">
        <v>2.9089999999999998</v>
      </c>
      <c r="FC23" s="14">
        <v>2.4369999999999998</v>
      </c>
      <c r="FD23" s="14">
        <v>2.3330000000000002</v>
      </c>
      <c r="FE23" s="14">
        <v>2.58</v>
      </c>
      <c r="FF23" s="14">
        <v>2.5659999999999998</v>
      </c>
      <c r="FG23" s="14">
        <v>3.0840000000000001</v>
      </c>
      <c r="FH23" s="14">
        <v>2.5979999999999999</v>
      </c>
      <c r="FI23" s="14">
        <v>2.9750000000000001</v>
      </c>
      <c r="FJ23" s="14">
        <v>3.653</v>
      </c>
      <c r="FK23" s="14">
        <v>3.2290000000000001</v>
      </c>
      <c r="FL23" s="14">
        <v>2.2949999999999999</v>
      </c>
      <c r="FM23" s="14">
        <v>2.8140000000000001</v>
      </c>
      <c r="FN23" s="14">
        <v>2.4870000000000001</v>
      </c>
      <c r="FO23" s="14">
        <v>2.3279999999999998</v>
      </c>
      <c r="FP23" s="14">
        <v>2.16</v>
      </c>
      <c r="FQ23" s="14">
        <v>2.1579999999999999</v>
      </c>
      <c r="FR23" s="14">
        <v>2.4790000000000001</v>
      </c>
      <c r="FS23" s="14">
        <v>2.2160000000000002</v>
      </c>
      <c r="FT23" s="14">
        <v>2.6789999999999998</v>
      </c>
      <c r="FU23" s="14">
        <v>2.3719999999999999</v>
      </c>
      <c r="FV23" s="14">
        <v>2.653</v>
      </c>
      <c r="FW23" s="14">
        <v>2.8559999999999999</v>
      </c>
      <c r="FX23" s="14">
        <v>2.524</v>
      </c>
      <c r="FY23" s="14">
        <v>2.5670000000000002</v>
      </c>
      <c r="FZ23" s="14">
        <v>2.621</v>
      </c>
      <c r="GA23" s="14">
        <v>3.6840000000000002</v>
      </c>
      <c r="GB23" s="14">
        <v>3.1749999999999998</v>
      </c>
      <c r="GC23" s="14">
        <v>2.915</v>
      </c>
      <c r="GD23" s="14">
        <v>3.2080000000000002</v>
      </c>
      <c r="GE23" s="14">
        <v>3.4470000000000001</v>
      </c>
      <c r="GF23" s="14">
        <v>4.2240000000000002</v>
      </c>
      <c r="GG23" s="14">
        <v>3.089</v>
      </c>
      <c r="GH23" s="14">
        <v>3.048</v>
      </c>
      <c r="GI23" s="14">
        <v>4.3019999999999996</v>
      </c>
      <c r="GJ23" s="14">
        <v>2.99</v>
      </c>
      <c r="GK23" s="14">
        <v>3.6219999999999999</v>
      </c>
      <c r="GL23" s="14">
        <v>3.262</v>
      </c>
      <c r="GM23" s="14">
        <v>2.891</v>
      </c>
      <c r="GN23" s="14">
        <v>3.1429999999999998</v>
      </c>
      <c r="GO23" s="14">
        <v>3.0139999999999998</v>
      </c>
      <c r="GP23" s="14">
        <v>3.9550000000000001</v>
      </c>
      <c r="GQ23" s="14">
        <v>3.9</v>
      </c>
      <c r="GR23" s="14">
        <v>3.16</v>
      </c>
      <c r="GS23" s="14">
        <v>2.5180000000000002</v>
      </c>
      <c r="GT23" s="14">
        <v>3.3559999999999999</v>
      </c>
      <c r="GU23" s="14">
        <v>5.1734934496421268</v>
      </c>
      <c r="GV23" s="14">
        <v>2.3592478271983643</v>
      </c>
      <c r="GW23" s="14">
        <v>5.8812677978016357</v>
      </c>
      <c r="GX23" s="14">
        <v>6.0666372699386502</v>
      </c>
      <c r="GY23" s="14">
        <v>4.6342368034253587</v>
      </c>
      <c r="GZ23" s="14">
        <v>4.4488673312883442</v>
      </c>
      <c r="HA23" s="14">
        <v>6.0497854997443756</v>
      </c>
      <c r="HB23" s="14">
        <v>3.8422036042944789</v>
      </c>
      <c r="HC23" s="14">
        <v>8.7123651904396731</v>
      </c>
      <c r="HD23" s="14">
        <v>1.1290686030163599</v>
      </c>
      <c r="HE23" s="14">
        <v>8.261000000000001</v>
      </c>
      <c r="HF23" s="14">
        <v>8.58</v>
      </c>
      <c r="HG23" s="14">
        <v>11.614999999999998</v>
      </c>
      <c r="HH23" s="14">
        <v>8.1549999999999994</v>
      </c>
      <c r="HI23" s="14">
        <v>8.0649999999999995</v>
      </c>
      <c r="HJ23" s="14">
        <v>8.4909999999999997</v>
      </c>
      <c r="HK23" s="14">
        <v>8.2289999999999992</v>
      </c>
      <c r="HL23" s="14">
        <v>8.5080000000000009</v>
      </c>
      <c r="HM23" s="14">
        <v>8.2919999999999998</v>
      </c>
      <c r="HN23" s="14">
        <v>9.8010000000000002</v>
      </c>
      <c r="HO23" s="14">
        <v>6.6429999999999998</v>
      </c>
      <c r="HP23" s="14">
        <v>8.1270000000000007</v>
      </c>
      <c r="HQ23" s="14">
        <v>9.1530932549971382</v>
      </c>
      <c r="HR23" s="14">
        <v>5.4918559529982822</v>
      </c>
      <c r="HS23" s="14">
        <v>10.304611438690326</v>
      </c>
      <c r="HT23" s="14">
        <v>11.338025193286779</v>
      </c>
      <c r="HU23" s="14">
        <v>9.3302498986422453</v>
      </c>
      <c r="HV23" s="14">
        <v>7.8539445349330288</v>
      </c>
      <c r="HW23" s="14">
        <v>11.155655839611478</v>
      </c>
      <c r="HX23" s="14">
        <v>11.426603515109331</v>
      </c>
      <c r="HY23" s="14">
        <v>9.2121454695455061</v>
      </c>
      <c r="HZ23" s="14">
        <v>7.4701051403686325</v>
      </c>
      <c r="IA23" s="14">
        <v>8.4440000000000008</v>
      </c>
      <c r="IB23" s="14">
        <v>5.7869999999999999</v>
      </c>
      <c r="IC23" s="14">
        <v>9.0174366500000005</v>
      </c>
      <c r="ID23" s="14">
        <v>7.9199443599999997</v>
      </c>
      <c r="IE23" s="14">
        <v>7.7967046999999994</v>
      </c>
      <c r="IF23" s="14">
        <v>9.0821255999999995</v>
      </c>
      <c r="IG23" s="14">
        <v>8.1157994000000002</v>
      </c>
      <c r="IH23" s="14">
        <v>9.1941392699999991</v>
      </c>
      <c r="II23" s="14">
        <v>9.6678198799999997</v>
      </c>
      <c r="IJ23" s="14">
        <v>8.1197792799999995</v>
      </c>
      <c r="IK23" s="14">
        <v>8.916997649999999</v>
      </c>
      <c r="IL23" s="14">
        <v>9.5664522299999994</v>
      </c>
      <c r="IM23" s="14">
        <v>10.406562919999999</v>
      </c>
      <c r="IN23" s="14">
        <v>9.0556973899999988</v>
      </c>
      <c r="IO23" s="14">
        <v>7.0877444599999997</v>
      </c>
      <c r="IP23" s="14">
        <v>11.679802839999999</v>
      </c>
      <c r="IQ23" s="14">
        <v>12.21032284</v>
      </c>
      <c r="IR23" s="14">
        <v>9.4721770299999992</v>
      </c>
      <c r="IS23" s="14">
        <v>10.821008879999999</v>
      </c>
      <c r="IT23" s="14">
        <v>10.58538536</v>
      </c>
      <c r="IU23" s="14">
        <v>12.038768840000001</v>
      </c>
      <c r="IV23" s="14">
        <v>12.6113342</v>
      </c>
      <c r="IW23" s="14">
        <v>11.996749749999999</v>
      </c>
      <c r="IX23" s="14">
        <v>12.08575592</v>
      </c>
      <c r="IY23" s="14">
        <v>10.857251380000001</v>
      </c>
      <c r="IZ23" s="14">
        <v>11.509761770000001</v>
      </c>
      <c r="JA23" s="14">
        <v>11.24987928</v>
      </c>
      <c r="JB23" s="14">
        <v>9.9858278299999998</v>
      </c>
      <c r="JC23" s="14">
        <v>10.72632948</v>
      </c>
      <c r="JD23" s="14">
        <v>11.0551531</v>
      </c>
      <c r="JE23" s="14">
        <v>12.010374369999999</v>
      </c>
      <c r="JF23" s="14">
        <v>11.208450460000002</v>
      </c>
      <c r="JG23" s="14">
        <v>11.67200235</v>
      </c>
      <c r="JH23" s="14">
        <v>11.634856409999999</v>
      </c>
      <c r="JI23" s="14">
        <v>10.68061967</v>
      </c>
      <c r="JJ23" s="14">
        <v>11.53679762</v>
      </c>
      <c r="JK23" s="14">
        <v>11.847331039999998</v>
      </c>
      <c r="JL23" s="14">
        <v>13.16502006</v>
      </c>
      <c r="JM23" s="14">
        <v>13.546633885</v>
      </c>
      <c r="JN23" s="14">
        <v>11.084753182</v>
      </c>
      <c r="JO23" s="14">
        <v>12.122146917</v>
      </c>
      <c r="JP23" s="14">
        <v>10.999867988779791</v>
      </c>
      <c r="JQ23" s="14">
        <v>11.541138548000001</v>
      </c>
      <c r="JR23" s="14">
        <v>12.206887811000001</v>
      </c>
      <c r="JS23" s="14">
        <v>12.654676311000001</v>
      </c>
      <c r="JT23" s="14">
        <v>13.133015690896094</v>
      </c>
      <c r="JU23" s="14">
        <v>12.77931231</v>
      </c>
      <c r="JV23" s="14">
        <v>13.29008091</v>
      </c>
      <c r="JW23" s="14">
        <v>12.317301626999999</v>
      </c>
      <c r="JX23" s="14">
        <v>13.437151058</v>
      </c>
      <c r="JY23" s="14">
        <v>11.406495596212899</v>
      </c>
      <c r="JZ23" s="14">
        <v>9.9458198425544051</v>
      </c>
      <c r="KA23" s="14">
        <v>11.578124511000008</v>
      </c>
      <c r="KB23" s="14">
        <v>10.462678542999999</v>
      </c>
      <c r="KC23" s="14">
        <v>10.641886227532595</v>
      </c>
      <c r="KD23" s="14">
        <v>11.679872005999997</v>
      </c>
      <c r="KE23" s="14">
        <v>10.418611602</v>
      </c>
      <c r="KF23" s="14">
        <v>12.490053061999998</v>
      </c>
      <c r="KG23" s="14">
        <v>11.166081708</v>
      </c>
      <c r="KH23" s="14">
        <v>10.44637807</v>
      </c>
      <c r="KI23" s="14">
        <v>9.8058786563485061</v>
      </c>
      <c r="KJ23" s="14">
        <v>11.203831939999999</v>
      </c>
      <c r="KK23" s="14">
        <v>10.875404139</v>
      </c>
      <c r="KL23" s="14">
        <v>8.4401854060000012</v>
      </c>
      <c r="KM23" s="14">
        <v>10.908931342136283</v>
      </c>
      <c r="KN23" s="14">
        <v>9.768313516522074</v>
      </c>
      <c r="KO23" s="14">
        <v>9.109437220000002</v>
      </c>
      <c r="KP23" s="14">
        <v>8.4426410880000002</v>
      </c>
      <c r="KQ23" s="14">
        <v>10.559935480000002</v>
      </c>
      <c r="KR23" s="14">
        <v>10.182531908</v>
      </c>
      <c r="KS23" s="14">
        <v>10.527673239</v>
      </c>
      <c r="KT23" s="14">
        <v>9.8265272589999988</v>
      </c>
      <c r="KU23" s="14">
        <v>9.7452217779999941</v>
      </c>
      <c r="KV23" s="14">
        <v>11.468234205</v>
      </c>
      <c r="KW23" s="14">
        <v>9.9694660346439488</v>
      </c>
      <c r="KX23" s="14">
        <v>9.5259804610000014</v>
      </c>
      <c r="KY23" s="14">
        <v>10.324206398000001</v>
      </c>
      <c r="KZ23" s="14">
        <v>10.217687323999998</v>
      </c>
      <c r="LA23" s="14">
        <v>10.385116417999999</v>
      </c>
      <c r="LB23" s="14">
        <v>11.389765119999995</v>
      </c>
      <c r="LC23" s="14">
        <v>11.56078917980949</v>
      </c>
      <c r="LD23" s="14">
        <v>11.103259030685201</v>
      </c>
      <c r="LE23" s="14">
        <v>10.058572584445839</v>
      </c>
      <c r="LF23" s="14">
        <v>11.14538418382193</v>
      </c>
      <c r="LG23" s="14">
        <v>10.718822810349348</v>
      </c>
      <c r="LH23" s="14">
        <v>12.967035682910511</v>
      </c>
      <c r="LI23" s="14">
        <v>10.379652744816443</v>
      </c>
      <c r="LJ23" s="14">
        <v>10.013379961310839</v>
      </c>
      <c r="LK23" s="14">
        <v>10.7528369468438</v>
      </c>
      <c r="LL23" s="14">
        <v>10.588726313404971</v>
      </c>
      <c r="LM23" s="14">
        <v>9.8773198754469878</v>
      </c>
      <c r="LN23" s="14">
        <v>10.041531476443154</v>
      </c>
      <c r="LO23" s="14">
        <v>12.069171730000011</v>
      </c>
      <c r="LP23" s="14">
        <v>11.058153479999993</v>
      </c>
      <c r="LQ23" s="14">
        <v>10.494541769999994</v>
      </c>
      <c r="LR23" s="14">
        <v>13.886520590000007</v>
      </c>
      <c r="LS23" s="14">
        <v>11.941571980000001</v>
      </c>
      <c r="LT23" s="14">
        <v>11.372536160000006</v>
      </c>
      <c r="LU23" s="149"/>
    </row>
    <row r="24" spans="1:333" x14ac:dyDescent="0.3">
      <c r="A24" s="3" t="s">
        <v>16</v>
      </c>
      <c r="B24" s="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4">
        <v>0</v>
      </c>
      <c r="AB24" s="14">
        <v>0</v>
      </c>
      <c r="AC24" s="14">
        <v>0</v>
      </c>
      <c r="AD24" s="14">
        <v>0</v>
      </c>
      <c r="AE24" s="14">
        <v>0</v>
      </c>
      <c r="AF24" s="14">
        <v>0</v>
      </c>
      <c r="AG24" s="14">
        <v>0</v>
      </c>
      <c r="AH24" s="14">
        <v>0</v>
      </c>
      <c r="AI24" s="14">
        <v>0</v>
      </c>
      <c r="AJ24" s="14">
        <v>0</v>
      </c>
      <c r="AK24" s="14">
        <v>0</v>
      </c>
      <c r="AL24" s="14">
        <v>0</v>
      </c>
      <c r="AM24" s="14">
        <v>0</v>
      </c>
      <c r="AN24" s="14">
        <v>0</v>
      </c>
      <c r="AO24" s="14">
        <v>0</v>
      </c>
      <c r="AP24" s="14">
        <v>0</v>
      </c>
      <c r="AQ24" s="14">
        <v>0</v>
      </c>
      <c r="AR24" s="14">
        <v>0</v>
      </c>
      <c r="AS24" s="14">
        <v>0</v>
      </c>
      <c r="AT24" s="14">
        <v>0</v>
      </c>
      <c r="AU24" s="14">
        <v>0</v>
      </c>
      <c r="AV24" s="14">
        <v>0</v>
      </c>
      <c r="AW24" s="14">
        <v>0</v>
      </c>
      <c r="AX24" s="14">
        <v>0</v>
      </c>
      <c r="AY24" s="14">
        <v>0</v>
      </c>
      <c r="AZ24" s="14">
        <v>0</v>
      </c>
      <c r="BA24" s="14">
        <v>0</v>
      </c>
      <c r="BB24" s="14">
        <v>0</v>
      </c>
      <c r="BC24" s="14">
        <v>0</v>
      </c>
      <c r="BD24" s="14">
        <v>0</v>
      </c>
      <c r="BE24" s="14">
        <v>0</v>
      </c>
      <c r="BF24" s="14">
        <v>0</v>
      </c>
      <c r="BG24" s="14">
        <v>0</v>
      </c>
      <c r="BH24" s="14">
        <v>0</v>
      </c>
      <c r="BI24" s="14">
        <v>0</v>
      </c>
      <c r="BJ24" s="14">
        <v>0</v>
      </c>
      <c r="BK24" s="14">
        <v>0</v>
      </c>
      <c r="BL24" s="14">
        <v>0</v>
      </c>
      <c r="BM24" s="14">
        <v>0</v>
      </c>
      <c r="BN24" s="14">
        <v>0</v>
      </c>
      <c r="BO24" s="14">
        <v>0</v>
      </c>
      <c r="BP24" s="14">
        <v>0</v>
      </c>
      <c r="BQ24" s="14">
        <v>0</v>
      </c>
      <c r="BR24" s="14">
        <v>0</v>
      </c>
      <c r="BS24" s="14">
        <v>0</v>
      </c>
      <c r="BT24" s="14">
        <v>0</v>
      </c>
      <c r="BU24" s="14">
        <v>0</v>
      </c>
      <c r="BV24" s="14">
        <v>0</v>
      </c>
      <c r="BW24" s="14">
        <v>0</v>
      </c>
      <c r="BX24" s="14">
        <v>0</v>
      </c>
      <c r="BY24" s="14">
        <v>0</v>
      </c>
      <c r="BZ24" s="14">
        <v>0</v>
      </c>
      <c r="CA24" s="14">
        <v>0</v>
      </c>
      <c r="CB24" s="14">
        <v>0</v>
      </c>
      <c r="CC24" s="14">
        <v>0</v>
      </c>
      <c r="CD24" s="14">
        <v>0</v>
      </c>
      <c r="CE24" s="14">
        <v>0</v>
      </c>
      <c r="CF24" s="14">
        <v>0</v>
      </c>
      <c r="CG24" s="14">
        <v>0</v>
      </c>
      <c r="CH24" s="14">
        <v>0</v>
      </c>
      <c r="CI24" s="14">
        <v>0.97</v>
      </c>
      <c r="CJ24" s="14">
        <v>0</v>
      </c>
      <c r="CK24" s="14">
        <v>0</v>
      </c>
      <c r="CL24" s="14">
        <v>0</v>
      </c>
      <c r="CM24" s="14">
        <v>0</v>
      </c>
      <c r="CN24" s="14">
        <v>0</v>
      </c>
      <c r="CO24" s="14">
        <v>0</v>
      </c>
      <c r="CP24" s="14">
        <v>0</v>
      </c>
      <c r="CQ24" s="14">
        <v>0</v>
      </c>
      <c r="CR24" s="14">
        <v>0</v>
      </c>
      <c r="CS24" s="14">
        <v>0</v>
      </c>
      <c r="CT24" s="14">
        <v>0</v>
      </c>
      <c r="CU24" s="14">
        <v>0.41439599999999999</v>
      </c>
      <c r="CV24" s="14">
        <v>0.42270999999999997</v>
      </c>
      <c r="CW24" s="14">
        <v>0.75733799999999996</v>
      </c>
      <c r="CX24" s="14">
        <v>0.39733299999999999</v>
      </c>
      <c r="CY24" s="14">
        <v>0.32340799999999997</v>
      </c>
      <c r="CZ24" s="14">
        <v>0</v>
      </c>
      <c r="DA24" s="14">
        <v>0.330729</v>
      </c>
      <c r="DB24" s="14">
        <v>1.032799</v>
      </c>
      <c r="DC24" s="14">
        <v>0.38624000000000003</v>
      </c>
      <c r="DD24" s="14">
        <v>1.1104259999999999</v>
      </c>
      <c r="DE24" s="14">
        <v>1.453371</v>
      </c>
      <c r="DF24" s="14">
        <v>0.70704199999999995</v>
      </c>
      <c r="DG24" s="14">
        <v>1.549614</v>
      </c>
      <c r="DH24" s="14">
        <v>0.75</v>
      </c>
      <c r="DI24" s="14">
        <v>0.627</v>
      </c>
      <c r="DJ24" s="14">
        <v>1.244</v>
      </c>
      <c r="DK24" s="14">
        <v>1.2030000000000001</v>
      </c>
      <c r="DL24" s="14">
        <v>0.58699999999999997</v>
      </c>
      <c r="DM24" s="14">
        <v>1.056</v>
      </c>
      <c r="DN24" s="14">
        <v>0.85799999999999998</v>
      </c>
      <c r="DO24" s="14">
        <v>1.278</v>
      </c>
      <c r="DP24" s="14">
        <v>1.486</v>
      </c>
      <c r="DQ24" s="14">
        <v>1.03</v>
      </c>
      <c r="DR24" s="14">
        <v>1.115</v>
      </c>
      <c r="DS24" s="14">
        <v>1.2150000000000001</v>
      </c>
      <c r="DT24" s="14">
        <v>1.2549999999999999</v>
      </c>
      <c r="DU24" s="14">
        <v>0.95199999999999996</v>
      </c>
      <c r="DV24" s="14">
        <v>0.83599999999999997</v>
      </c>
      <c r="DW24" s="14">
        <v>0.69799999999999995</v>
      </c>
      <c r="DX24" s="14">
        <v>0.875</v>
      </c>
      <c r="DY24" s="14">
        <v>0.72699999999999998</v>
      </c>
      <c r="DZ24" s="14">
        <v>0.75</v>
      </c>
      <c r="EA24" s="14">
        <v>0.52</v>
      </c>
      <c r="EB24" s="14">
        <v>1.087</v>
      </c>
      <c r="EC24" s="14">
        <v>1.06</v>
      </c>
      <c r="ED24" s="14">
        <v>0.97</v>
      </c>
      <c r="EE24" s="14">
        <v>0.73099999999999998</v>
      </c>
      <c r="EF24" s="14">
        <v>1.0660000000000001</v>
      </c>
      <c r="EG24" s="14">
        <v>0.11899999999999999</v>
      </c>
      <c r="EH24" s="14">
        <v>0</v>
      </c>
      <c r="EI24" s="14">
        <v>0</v>
      </c>
      <c r="EJ24" s="14">
        <v>0</v>
      </c>
      <c r="EK24" s="14">
        <v>0</v>
      </c>
      <c r="EL24" s="14">
        <v>0</v>
      </c>
      <c r="EM24" s="14">
        <v>0</v>
      </c>
      <c r="EN24" s="14">
        <v>0</v>
      </c>
      <c r="EO24" s="14">
        <v>0</v>
      </c>
      <c r="EP24" s="14">
        <v>0</v>
      </c>
      <c r="EQ24" s="14">
        <v>0</v>
      </c>
      <c r="ER24" s="14">
        <v>0</v>
      </c>
      <c r="ES24" s="14">
        <v>0</v>
      </c>
      <c r="ET24" s="14">
        <v>0</v>
      </c>
      <c r="EU24" s="14">
        <v>0</v>
      </c>
      <c r="EV24" s="14">
        <v>0</v>
      </c>
      <c r="EW24" s="14">
        <v>0</v>
      </c>
      <c r="EX24" s="14">
        <v>0</v>
      </c>
      <c r="EY24" s="14">
        <v>0</v>
      </c>
      <c r="EZ24" s="14">
        <v>0</v>
      </c>
      <c r="FA24" s="14">
        <v>1.0760000000000001</v>
      </c>
      <c r="FB24" s="14">
        <v>1.61</v>
      </c>
      <c r="FC24" s="14">
        <v>1.105</v>
      </c>
      <c r="FD24" s="14">
        <v>1.113</v>
      </c>
      <c r="FE24" s="14">
        <v>1.7330000000000001</v>
      </c>
      <c r="FF24" s="14">
        <v>1.165</v>
      </c>
      <c r="FG24" s="14">
        <v>0.53</v>
      </c>
      <c r="FH24" s="14">
        <v>1.659</v>
      </c>
      <c r="FI24" s="14">
        <v>1.0329999999999999</v>
      </c>
      <c r="FJ24" s="14">
        <v>1.038</v>
      </c>
      <c r="FK24" s="14">
        <v>1.119</v>
      </c>
      <c r="FL24" s="14">
        <v>0.53800000000000003</v>
      </c>
      <c r="FM24" s="14">
        <v>1.649</v>
      </c>
      <c r="FN24" s="14">
        <v>1.0209999999999999</v>
      </c>
      <c r="FO24" s="14">
        <v>2.5510000000000002</v>
      </c>
      <c r="FP24" s="14">
        <v>1.31</v>
      </c>
      <c r="FQ24" s="14">
        <v>0.78600000000000003</v>
      </c>
      <c r="FR24" s="14">
        <v>1.5669999999999999</v>
      </c>
      <c r="FS24" s="14">
        <v>1.391</v>
      </c>
      <c r="FT24" s="14">
        <v>1.5720000000000001</v>
      </c>
      <c r="FU24" s="14">
        <v>2.0950000000000002</v>
      </c>
      <c r="FV24" s="14">
        <v>1.5720000000000001</v>
      </c>
      <c r="FW24" s="14">
        <v>2.0470000000000002</v>
      </c>
      <c r="FX24" s="14">
        <v>0.51700000000000002</v>
      </c>
      <c r="FY24" s="14">
        <v>1.833</v>
      </c>
      <c r="FZ24" s="14">
        <v>2.1819999999999999</v>
      </c>
      <c r="GA24" s="14">
        <v>1.0900000000000001</v>
      </c>
      <c r="GB24" s="14">
        <v>1.2569999999999999</v>
      </c>
      <c r="GC24" s="14">
        <v>1.8420000000000001</v>
      </c>
      <c r="GD24" s="14">
        <v>1.0369999999999999</v>
      </c>
      <c r="GE24" s="14">
        <v>1.5549999999999999</v>
      </c>
      <c r="GF24" s="14">
        <v>1.0369999999999999</v>
      </c>
      <c r="GG24" s="14">
        <v>1.5549999999999999</v>
      </c>
      <c r="GH24" s="14">
        <v>1.5549999999999999</v>
      </c>
      <c r="GI24" s="14">
        <v>1.5549999999999999</v>
      </c>
      <c r="GJ24" s="14">
        <v>1.5549999999999999</v>
      </c>
      <c r="GK24" s="14">
        <v>1.143</v>
      </c>
      <c r="GL24" s="14">
        <v>1.3939999999999999</v>
      </c>
      <c r="GM24" s="14">
        <v>1.143</v>
      </c>
      <c r="GN24" s="14">
        <v>1.714</v>
      </c>
      <c r="GO24" s="14">
        <v>2.286</v>
      </c>
      <c r="GP24" s="14">
        <v>1.714</v>
      </c>
      <c r="GQ24" s="14">
        <v>0.57099999999999995</v>
      </c>
      <c r="GR24" s="14">
        <v>1.143</v>
      </c>
      <c r="GS24" s="14">
        <v>1.6830000000000001</v>
      </c>
      <c r="GT24" s="14">
        <v>2.222</v>
      </c>
      <c r="GU24" s="14">
        <v>1.143</v>
      </c>
      <c r="GV24" s="14">
        <v>1.657</v>
      </c>
      <c r="GW24" s="14">
        <v>1.657</v>
      </c>
      <c r="GX24" s="14">
        <v>2.0110000000000001</v>
      </c>
      <c r="GY24" s="14">
        <v>2.0710000000000002</v>
      </c>
      <c r="GZ24" s="14">
        <v>1.429</v>
      </c>
      <c r="HA24" s="14">
        <v>2.0710000000000002</v>
      </c>
      <c r="HB24" s="14">
        <v>1.429</v>
      </c>
      <c r="HC24" s="14">
        <v>1.429</v>
      </c>
      <c r="HD24" s="14">
        <v>1.429</v>
      </c>
      <c r="HE24" s="14">
        <v>0.95199999999999996</v>
      </c>
      <c r="HF24" s="14">
        <v>0.95199999999999996</v>
      </c>
      <c r="HG24" s="14">
        <v>0.95199999999999996</v>
      </c>
      <c r="HH24" s="14">
        <v>1.905</v>
      </c>
      <c r="HI24" s="14">
        <v>0.95199999999999996</v>
      </c>
      <c r="HJ24" s="14">
        <v>1.458</v>
      </c>
      <c r="HK24" s="14">
        <v>0.95199999999999996</v>
      </c>
      <c r="HL24" s="14">
        <v>2.0739999999999998</v>
      </c>
      <c r="HM24" s="14">
        <v>0.47899999999999998</v>
      </c>
      <c r="HN24" s="14">
        <v>1.429</v>
      </c>
      <c r="HO24" s="14">
        <v>0.47599999999999998</v>
      </c>
      <c r="HP24" s="14">
        <v>2.847</v>
      </c>
      <c r="HQ24" s="14">
        <v>1.0349999999999999</v>
      </c>
      <c r="HR24" s="14">
        <v>1.63</v>
      </c>
      <c r="HS24" s="14">
        <v>1.0580000000000001</v>
      </c>
      <c r="HT24" s="14">
        <v>1.0580000000000001</v>
      </c>
      <c r="HU24" s="14">
        <v>1.385</v>
      </c>
      <c r="HV24" s="14">
        <v>2.1160000000000001</v>
      </c>
      <c r="HW24" s="14">
        <v>1.587</v>
      </c>
      <c r="HX24" s="14">
        <v>1.0580000000000001</v>
      </c>
      <c r="HY24" s="14">
        <v>1.0580000000000001</v>
      </c>
      <c r="HZ24" s="14">
        <v>1.587</v>
      </c>
      <c r="IA24" s="14">
        <v>2.1160000000000001</v>
      </c>
      <c r="IB24" s="14">
        <v>1.0580000000000001</v>
      </c>
      <c r="IC24" s="14">
        <v>0.52900000000000003</v>
      </c>
      <c r="ID24" s="14">
        <v>1.587</v>
      </c>
      <c r="IE24" s="14">
        <v>1.817753</v>
      </c>
      <c r="IF24" s="14">
        <v>1.587</v>
      </c>
      <c r="IG24" s="14">
        <v>1.5851120000000001</v>
      </c>
      <c r="IH24" s="14">
        <v>1.5809949999999999</v>
      </c>
      <c r="II24" s="14">
        <v>1.58073</v>
      </c>
      <c r="IJ24" s="14">
        <v>1.5807299399999999</v>
      </c>
      <c r="IK24" s="14">
        <v>1.0477443799999999</v>
      </c>
      <c r="IL24" s="14">
        <v>1.5873264000000002</v>
      </c>
      <c r="IM24" s="14">
        <v>1.5794199899999997</v>
      </c>
      <c r="IN24" s="14">
        <v>1.58136546</v>
      </c>
      <c r="IO24" s="14">
        <v>0.52698802</v>
      </c>
      <c r="IP24" s="14">
        <v>1.58001591</v>
      </c>
      <c r="IQ24" s="14">
        <v>0.52685373000000002</v>
      </c>
      <c r="IR24" s="14">
        <v>0.5269869399999999</v>
      </c>
      <c r="IS24" s="14">
        <v>1.05406406</v>
      </c>
      <c r="IT24" s="14">
        <v>0.52699328000000001</v>
      </c>
      <c r="IU24" s="14">
        <v>1.58109207</v>
      </c>
      <c r="IV24" s="14">
        <v>2.1079690000000002</v>
      </c>
      <c r="IW24" s="14">
        <v>1.05408196</v>
      </c>
      <c r="IX24" s="14">
        <v>2.6446904999999998</v>
      </c>
      <c r="IY24" s="14">
        <v>1.0541886999999999</v>
      </c>
      <c r="IZ24" s="14">
        <v>1.0541886999999999</v>
      </c>
      <c r="JA24" s="14">
        <v>1.57985742</v>
      </c>
      <c r="JB24" s="14">
        <v>1.0542986599999999</v>
      </c>
      <c r="JC24" s="14">
        <v>1.05436566</v>
      </c>
      <c r="JD24" s="14">
        <v>1.0542591000000001</v>
      </c>
      <c r="JE24" s="14">
        <v>1.0541584199999998</v>
      </c>
      <c r="JF24" s="14">
        <v>0.52752981999999993</v>
      </c>
      <c r="JG24" s="14">
        <v>1.0542681399999998</v>
      </c>
      <c r="JH24" s="14">
        <v>0.52710842000000002</v>
      </c>
      <c r="JI24" s="14">
        <v>1.0552483400000001</v>
      </c>
      <c r="JJ24" s="14">
        <v>0.61674418999999991</v>
      </c>
      <c r="JK24" s="14">
        <v>0.52718654000000009</v>
      </c>
      <c r="JL24" s="14">
        <v>0</v>
      </c>
      <c r="JM24" s="14">
        <v>0</v>
      </c>
      <c r="JN24" s="14">
        <v>0</v>
      </c>
      <c r="JO24" s="14">
        <v>0</v>
      </c>
      <c r="JP24" s="14">
        <v>0</v>
      </c>
      <c r="JQ24" s="14">
        <v>0</v>
      </c>
      <c r="JR24" s="14">
        <v>0</v>
      </c>
      <c r="JS24" s="14">
        <v>0</v>
      </c>
      <c r="JT24" s="14">
        <v>0</v>
      </c>
      <c r="JU24" s="14">
        <v>0</v>
      </c>
      <c r="JV24" s="14">
        <v>0</v>
      </c>
      <c r="JW24" s="14">
        <v>0</v>
      </c>
      <c r="JX24" s="14">
        <v>0</v>
      </c>
      <c r="JY24" s="14">
        <v>0</v>
      </c>
      <c r="JZ24" s="14">
        <v>0</v>
      </c>
      <c r="KA24" s="14">
        <v>0</v>
      </c>
      <c r="KB24" s="14">
        <v>0</v>
      </c>
      <c r="KC24" s="14">
        <v>0</v>
      </c>
      <c r="KD24" s="14">
        <v>0</v>
      </c>
      <c r="KE24" s="14">
        <v>0</v>
      </c>
      <c r="KF24" s="14">
        <v>0</v>
      </c>
      <c r="KG24" s="14">
        <v>0</v>
      </c>
      <c r="KH24" s="14">
        <v>0</v>
      </c>
      <c r="KI24" s="14">
        <v>0</v>
      </c>
      <c r="KJ24" s="14">
        <v>0</v>
      </c>
      <c r="KK24" s="14">
        <v>0</v>
      </c>
      <c r="KL24" s="14">
        <v>0</v>
      </c>
      <c r="KM24" s="14">
        <v>0</v>
      </c>
      <c r="KN24" s="14">
        <v>0</v>
      </c>
      <c r="KO24" s="14">
        <v>0</v>
      </c>
      <c r="KP24" s="14">
        <v>0</v>
      </c>
      <c r="KQ24" s="14">
        <v>0</v>
      </c>
      <c r="KR24" s="14">
        <v>0</v>
      </c>
      <c r="KS24" s="14">
        <v>0</v>
      </c>
      <c r="KT24" s="14">
        <v>0</v>
      </c>
      <c r="KU24" s="14">
        <v>0</v>
      </c>
      <c r="KV24" s="14">
        <v>0</v>
      </c>
      <c r="KW24" s="14">
        <v>0</v>
      </c>
      <c r="KX24" s="14">
        <v>0</v>
      </c>
      <c r="KY24" s="14">
        <v>0</v>
      </c>
      <c r="KZ24" s="14">
        <v>0</v>
      </c>
      <c r="LA24" s="14">
        <v>0</v>
      </c>
      <c r="LB24" s="14">
        <v>0</v>
      </c>
      <c r="LC24" s="14">
        <v>0</v>
      </c>
      <c r="LD24" s="14">
        <v>0</v>
      </c>
      <c r="LE24" s="14">
        <v>0</v>
      </c>
      <c r="LF24" s="14">
        <v>0</v>
      </c>
      <c r="LG24" s="14">
        <v>0</v>
      </c>
      <c r="LH24" s="14">
        <v>0</v>
      </c>
      <c r="LI24" s="14">
        <v>0</v>
      </c>
      <c r="LJ24" s="14">
        <v>0</v>
      </c>
      <c r="LK24" s="14">
        <v>0</v>
      </c>
      <c r="LL24" s="14">
        <v>0</v>
      </c>
      <c r="LM24" s="14">
        <v>0</v>
      </c>
      <c r="LN24" s="14">
        <v>0</v>
      </c>
      <c r="LO24" s="14">
        <v>0</v>
      </c>
      <c r="LP24" s="14">
        <v>0</v>
      </c>
      <c r="LQ24" s="14">
        <v>0</v>
      </c>
      <c r="LR24" s="14">
        <v>0</v>
      </c>
      <c r="LS24" s="14">
        <v>0</v>
      </c>
      <c r="LT24" s="14">
        <v>0</v>
      </c>
      <c r="LU24" s="149"/>
    </row>
    <row r="25" spans="1:333" x14ac:dyDescent="0.3">
      <c r="A25" s="15" t="s">
        <v>17</v>
      </c>
      <c r="B25" s="15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7">
        <v>0.746</v>
      </c>
      <c r="AB25" s="17">
        <v>0.64200000000000002</v>
      </c>
      <c r="AC25" s="17">
        <v>0.93500000000000005</v>
      </c>
      <c r="AD25" s="17">
        <v>0.54700000000000004</v>
      </c>
      <c r="AE25" s="17">
        <v>1.8639999999999999</v>
      </c>
      <c r="AF25" s="17">
        <v>1.2749999999999999</v>
      </c>
      <c r="AG25" s="17">
        <v>0.55200000000000005</v>
      </c>
      <c r="AH25" s="17">
        <v>0.69800000000000006</v>
      </c>
      <c r="AI25" s="17">
        <v>0.65100000000000002</v>
      </c>
      <c r="AJ25" s="17">
        <v>0.71299999999999997</v>
      </c>
      <c r="AK25" s="17">
        <v>1.0589999999999999</v>
      </c>
      <c r="AL25" s="17">
        <v>0.91300000000000003</v>
      </c>
      <c r="AM25" s="17">
        <v>1.4</v>
      </c>
      <c r="AN25" s="17">
        <v>2.3169999999999997</v>
      </c>
      <c r="AO25" s="17">
        <v>1.615</v>
      </c>
      <c r="AP25" s="17">
        <v>4.3629000000000007</v>
      </c>
      <c r="AQ25" s="17">
        <v>3.1556000000000002</v>
      </c>
      <c r="AR25" s="17">
        <v>3.9809999999999999</v>
      </c>
      <c r="AS25" s="17">
        <v>2.5680999999999998</v>
      </c>
      <c r="AT25" s="17">
        <v>1.8115000000000003</v>
      </c>
      <c r="AU25" s="17">
        <v>2.99125</v>
      </c>
      <c r="AV25" s="17">
        <v>1.46455</v>
      </c>
      <c r="AW25" s="17">
        <v>1.8057000000000003</v>
      </c>
      <c r="AX25" s="17">
        <v>1.8484500000000001</v>
      </c>
      <c r="AY25" s="17">
        <v>1.4900000000000002</v>
      </c>
      <c r="AZ25" s="17">
        <v>1.6741000000000001</v>
      </c>
      <c r="BA25" s="17">
        <v>1.9750000000000001</v>
      </c>
      <c r="BB25" s="17">
        <v>0.46500000000000002</v>
      </c>
      <c r="BC25" s="17">
        <v>2.3140000000000001</v>
      </c>
      <c r="BD25" s="17">
        <v>3.7549999999999999</v>
      </c>
      <c r="BE25" s="17">
        <v>0.97200000000000009</v>
      </c>
      <c r="BF25" s="17">
        <v>2.4260000000000002</v>
      </c>
      <c r="BG25" s="17">
        <v>3.1760000000000002</v>
      </c>
      <c r="BH25" s="17">
        <v>4.5039999999999996</v>
      </c>
      <c r="BI25" s="17">
        <v>2.5920000000000001</v>
      </c>
      <c r="BJ25" s="17">
        <v>4.5570000000000004</v>
      </c>
      <c r="BK25" s="17">
        <v>3.391</v>
      </c>
      <c r="BL25" s="17">
        <v>2.0979999999999999</v>
      </c>
      <c r="BM25" s="17">
        <v>2.089</v>
      </c>
      <c r="BN25" s="17">
        <v>10.207000000000001</v>
      </c>
      <c r="BO25" s="17">
        <v>4.3540000000000001</v>
      </c>
      <c r="BP25" s="17">
        <v>7.202</v>
      </c>
      <c r="BQ25" s="17">
        <v>4.9109999999999996</v>
      </c>
      <c r="BR25" s="17">
        <v>5.2229999999999999</v>
      </c>
      <c r="BS25" s="17">
        <v>6.7030000000000003</v>
      </c>
      <c r="BT25" s="17">
        <v>3.4630000000000001</v>
      </c>
      <c r="BU25" s="17">
        <v>5.5129999999999999</v>
      </c>
      <c r="BV25" s="17">
        <v>2.7480000000000002</v>
      </c>
      <c r="BW25" s="17">
        <v>1.647</v>
      </c>
      <c r="BX25" s="17">
        <v>3.7749999999999999</v>
      </c>
      <c r="BY25" s="17">
        <v>2.0310000000000001</v>
      </c>
      <c r="BZ25" s="17">
        <v>1.6124000000000001</v>
      </c>
      <c r="CA25" s="17">
        <v>2.3267699999999998</v>
      </c>
      <c r="CB25" s="17">
        <v>3.3362970000000001</v>
      </c>
      <c r="CC25" s="17">
        <v>1.3560000000000001</v>
      </c>
      <c r="CD25" s="17">
        <v>1.9500000000000002</v>
      </c>
      <c r="CE25" s="17">
        <v>2.8120000000000003</v>
      </c>
      <c r="CF25" s="17">
        <v>2.391</v>
      </c>
      <c r="CG25" s="17">
        <v>1.9529999999999998</v>
      </c>
      <c r="CH25" s="17">
        <v>7.2060000000000004</v>
      </c>
      <c r="CI25" s="17">
        <v>5.6189999999999998</v>
      </c>
      <c r="CJ25" s="17">
        <v>2.4700000000000002</v>
      </c>
      <c r="CK25" s="17">
        <v>3.83</v>
      </c>
      <c r="CL25" s="17">
        <v>5.7649999999999997</v>
      </c>
      <c r="CM25" s="17">
        <v>9.4580000000000002</v>
      </c>
      <c r="CN25" s="17">
        <v>10.24</v>
      </c>
      <c r="CO25" s="17">
        <v>2.347</v>
      </c>
      <c r="CP25" s="17">
        <v>3.4249999999999998</v>
      </c>
      <c r="CQ25" s="17">
        <v>4.1710000000000003</v>
      </c>
      <c r="CR25" s="17">
        <v>2.956</v>
      </c>
      <c r="CS25" s="17">
        <v>3.86</v>
      </c>
      <c r="CT25" s="17">
        <v>6.3210000000000006</v>
      </c>
      <c r="CU25" s="17">
        <v>3.367</v>
      </c>
      <c r="CV25" s="17">
        <v>2.7730000000000001</v>
      </c>
      <c r="CW25" s="17">
        <v>2.3890000000000002</v>
      </c>
      <c r="CX25" s="17">
        <v>2.8689999999999998</v>
      </c>
      <c r="CY25" s="17">
        <v>3.6309999999999998</v>
      </c>
      <c r="CZ25" s="17">
        <v>4.7229999999999999</v>
      </c>
      <c r="DA25" s="17">
        <v>4.4726999999999997</v>
      </c>
      <c r="DB25" s="17">
        <v>3.0060000000000002</v>
      </c>
      <c r="DC25" s="17">
        <v>6.3439999999999994</v>
      </c>
      <c r="DD25" s="17">
        <v>12.86</v>
      </c>
      <c r="DE25" s="17">
        <v>5.88</v>
      </c>
      <c r="DF25" s="17">
        <v>5.4009999999999998</v>
      </c>
      <c r="DG25" s="17">
        <v>2.9790000000000001</v>
      </c>
      <c r="DH25" s="17">
        <v>4.4809999999999999</v>
      </c>
      <c r="DI25" s="17">
        <v>3.3680000000000003</v>
      </c>
      <c r="DJ25" s="17">
        <v>3.9329999999999998</v>
      </c>
      <c r="DK25" s="17">
        <v>5.2219999999999995</v>
      </c>
      <c r="DL25" s="17">
        <v>3.0640000000000001</v>
      </c>
      <c r="DM25" s="17">
        <v>2.8279999999999998</v>
      </c>
      <c r="DN25" s="17">
        <v>3.15</v>
      </c>
      <c r="DO25" s="17">
        <v>3.9570000000000003</v>
      </c>
      <c r="DP25" s="17">
        <v>5.5819999999999999</v>
      </c>
      <c r="DQ25" s="17">
        <v>7.7420000000000009</v>
      </c>
      <c r="DR25" s="17">
        <v>4.1619999999999999</v>
      </c>
      <c r="DS25" s="17">
        <v>5.0779999999999994</v>
      </c>
      <c r="DT25" s="17">
        <v>6.2430000000000003</v>
      </c>
      <c r="DU25" s="17">
        <v>4.93</v>
      </c>
      <c r="DV25" s="17">
        <v>6.3360000000000003</v>
      </c>
      <c r="DW25" s="17">
        <v>5.3170000000000002</v>
      </c>
      <c r="DX25" s="17">
        <v>3.4420000000000002</v>
      </c>
      <c r="DY25" s="17">
        <v>4.3049999999999997</v>
      </c>
      <c r="DZ25" s="17">
        <v>4</v>
      </c>
      <c r="EA25" s="17">
        <v>5.4729999999999999</v>
      </c>
      <c r="EB25" s="17">
        <v>6.1710000000000003</v>
      </c>
      <c r="EC25" s="17">
        <v>3.88</v>
      </c>
      <c r="ED25" s="17">
        <v>5.6189999999999998</v>
      </c>
      <c r="EE25" s="17">
        <v>5.8879999999999999</v>
      </c>
      <c r="EF25" s="17">
        <v>6.008</v>
      </c>
      <c r="EG25" s="17">
        <v>7.8689999999999998</v>
      </c>
      <c r="EH25" s="17">
        <v>7.8620000000000001</v>
      </c>
      <c r="EI25" s="17">
        <v>4.7679999999999998</v>
      </c>
      <c r="EJ25" s="17">
        <v>4.418139</v>
      </c>
      <c r="EK25" s="17">
        <v>5.588203</v>
      </c>
      <c r="EL25" s="17">
        <v>8.0174649999999996</v>
      </c>
      <c r="EM25" s="17">
        <v>9.1513859999999987</v>
      </c>
      <c r="EN25" s="17">
        <v>8.8358799999999995</v>
      </c>
      <c r="EO25" s="17">
        <v>7.5809999999999995</v>
      </c>
      <c r="EP25" s="17">
        <v>8.2970000000000006</v>
      </c>
      <c r="EQ25" s="17">
        <v>10.862999999999998</v>
      </c>
      <c r="ER25" s="17">
        <v>13.247</v>
      </c>
      <c r="ES25" s="17">
        <v>12.937999999999999</v>
      </c>
      <c r="ET25" s="17">
        <v>8.0530000000000008</v>
      </c>
      <c r="EU25" s="17">
        <v>9.3330000000000002</v>
      </c>
      <c r="EV25" s="17">
        <v>10.934000000000001</v>
      </c>
      <c r="EW25" s="17">
        <v>10.140999999999998</v>
      </c>
      <c r="EX25" s="17">
        <v>8.3729999999999993</v>
      </c>
      <c r="EY25" s="17">
        <v>12.289</v>
      </c>
      <c r="EZ25" s="17">
        <v>8.4990000000000006</v>
      </c>
      <c r="FA25" s="17">
        <v>8.0159999999999982</v>
      </c>
      <c r="FB25" s="17">
        <v>8.6909999999999989</v>
      </c>
      <c r="FC25" s="17">
        <v>10.120000000000001</v>
      </c>
      <c r="FD25" s="17">
        <v>19.141999999999999</v>
      </c>
      <c r="FE25" s="17">
        <v>10.673</v>
      </c>
      <c r="FF25" s="17">
        <v>12.521000000000001</v>
      </c>
      <c r="FG25" s="17">
        <v>13.722000000000001</v>
      </c>
      <c r="FH25" s="17">
        <v>15.161000000000001</v>
      </c>
      <c r="FI25" s="17">
        <v>11.443</v>
      </c>
      <c r="FJ25" s="17">
        <v>12.550999999999998</v>
      </c>
      <c r="FK25" s="17">
        <v>16.783999999999999</v>
      </c>
      <c r="FL25" s="17">
        <v>15.587999999999999</v>
      </c>
      <c r="FM25" s="17">
        <v>15.402000000000001</v>
      </c>
      <c r="FN25" s="17">
        <v>14.714535000000001</v>
      </c>
      <c r="FO25" s="17">
        <v>15.913</v>
      </c>
      <c r="FP25" s="17">
        <v>17.747999999999998</v>
      </c>
      <c r="FQ25" s="17">
        <v>17.224</v>
      </c>
      <c r="FR25" s="17">
        <v>18.036000000000001</v>
      </c>
      <c r="FS25" s="17">
        <v>19.306000000000001</v>
      </c>
      <c r="FT25" s="17">
        <v>18.408000000000001</v>
      </c>
      <c r="FU25" s="17">
        <v>21.395</v>
      </c>
      <c r="FV25" s="17">
        <v>14.702</v>
      </c>
      <c r="FW25" s="17">
        <v>14.340999999999999</v>
      </c>
      <c r="FX25" s="17">
        <v>9.1749999999999989</v>
      </c>
      <c r="FY25" s="17">
        <v>14.637</v>
      </c>
      <c r="FZ25" s="17">
        <v>25.184999999999999</v>
      </c>
      <c r="GA25" s="17">
        <v>22.555</v>
      </c>
      <c r="GB25" s="17">
        <v>26.474</v>
      </c>
      <c r="GC25" s="17">
        <v>26.984999999999999</v>
      </c>
      <c r="GD25" s="17">
        <v>35.72</v>
      </c>
      <c r="GE25" s="17">
        <v>32.073</v>
      </c>
      <c r="GF25" s="17">
        <v>33.83</v>
      </c>
      <c r="GG25" s="17">
        <v>38.213000000000001</v>
      </c>
      <c r="GH25" s="17">
        <v>36.739999999999995</v>
      </c>
      <c r="GI25" s="17">
        <v>45.975000000000001</v>
      </c>
      <c r="GJ25" s="17">
        <v>41.356999999999999</v>
      </c>
      <c r="GK25" s="17">
        <v>59.819999999999993</v>
      </c>
      <c r="GL25" s="17">
        <v>50.872</v>
      </c>
      <c r="GM25" s="17">
        <v>45.701999999999998</v>
      </c>
      <c r="GN25" s="17">
        <v>52.442</v>
      </c>
      <c r="GO25" s="17">
        <v>54.102000000000004</v>
      </c>
      <c r="GP25" s="17">
        <v>56.22999999999999</v>
      </c>
      <c r="GQ25" s="17">
        <v>52.040999999999997</v>
      </c>
      <c r="GR25" s="17">
        <v>52.490000000000009</v>
      </c>
      <c r="GS25" s="17">
        <v>57.841999999999999</v>
      </c>
      <c r="GT25" s="17">
        <v>50.637</v>
      </c>
      <c r="GU25" s="17">
        <v>54.933999999999997</v>
      </c>
      <c r="GV25" s="17">
        <v>60.449000000000012</v>
      </c>
      <c r="GW25" s="17">
        <v>66.12</v>
      </c>
      <c r="GX25" s="17">
        <v>62.798000000000002</v>
      </c>
      <c r="GY25" s="17">
        <v>84.47</v>
      </c>
      <c r="GZ25" s="17">
        <v>68.708999999999989</v>
      </c>
      <c r="HA25" s="17">
        <v>61.250999999999991</v>
      </c>
      <c r="HB25" s="17">
        <v>66.186000000000007</v>
      </c>
      <c r="HC25" s="17">
        <v>58.728999999999999</v>
      </c>
      <c r="HD25" s="17">
        <v>53.677000000000007</v>
      </c>
      <c r="HE25" s="17">
        <v>55.192</v>
      </c>
      <c r="HF25" s="17">
        <v>59.041000000000004</v>
      </c>
      <c r="HG25" s="17">
        <v>58.143000000000008</v>
      </c>
      <c r="HH25" s="17">
        <v>62.004999999999995</v>
      </c>
      <c r="HI25" s="17">
        <v>52.368000000000002</v>
      </c>
      <c r="HJ25" s="17">
        <v>55.486999999999995</v>
      </c>
      <c r="HK25" s="17">
        <v>61.16899999999999</v>
      </c>
      <c r="HL25" s="17">
        <v>65.873000000000005</v>
      </c>
      <c r="HM25" s="17">
        <v>63.83</v>
      </c>
      <c r="HN25" s="17">
        <v>73.248999999999995</v>
      </c>
      <c r="HO25" s="17">
        <v>60.137999999999998</v>
      </c>
      <c r="HP25" s="17">
        <v>66.978000000000009</v>
      </c>
      <c r="HQ25" s="17">
        <v>57.26</v>
      </c>
      <c r="HR25" s="17">
        <v>60.585000000000008</v>
      </c>
      <c r="HS25" s="17">
        <v>72.637999999999991</v>
      </c>
      <c r="HT25" s="17">
        <v>62.766000000000005</v>
      </c>
      <c r="HU25" s="17">
        <v>65.834999999999994</v>
      </c>
      <c r="HV25" s="17">
        <v>64.606999999999999</v>
      </c>
      <c r="HW25" s="17">
        <v>53.224000000000004</v>
      </c>
      <c r="HX25" s="17">
        <v>78.275000000000006</v>
      </c>
      <c r="HY25" s="17">
        <v>61.072999999999993</v>
      </c>
      <c r="HZ25" s="17">
        <v>67.923000000000002</v>
      </c>
      <c r="IA25" s="17">
        <v>60.756</v>
      </c>
      <c r="IB25" s="17">
        <v>67.186999999999983</v>
      </c>
      <c r="IC25" s="17">
        <v>71.194893020000123</v>
      </c>
      <c r="ID25" s="17">
        <v>81.032904560000105</v>
      </c>
      <c r="IE25" s="17">
        <v>89.581242090000003</v>
      </c>
      <c r="IF25" s="17">
        <v>83.077436490000025</v>
      </c>
      <c r="IG25" s="17">
        <v>89.625838739999978</v>
      </c>
      <c r="IH25" s="17">
        <v>86.921217770000013</v>
      </c>
      <c r="II25" s="17">
        <v>86.96363403000025</v>
      </c>
      <c r="IJ25" s="17">
        <v>92.657302690000108</v>
      </c>
      <c r="IK25" s="17">
        <v>79.253148339999825</v>
      </c>
      <c r="IL25" s="17">
        <v>87.826662570000252</v>
      </c>
      <c r="IM25" s="17">
        <v>94.692986340000317</v>
      </c>
      <c r="IN25" s="17">
        <v>101.75422262000009</v>
      </c>
      <c r="IO25" s="17">
        <v>94.953314749999976</v>
      </c>
      <c r="IP25" s="17">
        <v>96.045977330000042</v>
      </c>
      <c r="IQ25" s="17">
        <v>103.40983286999999</v>
      </c>
      <c r="IR25" s="17">
        <v>106.3663236281345</v>
      </c>
      <c r="IS25" s="17">
        <v>107.5820535899999</v>
      </c>
      <c r="IT25" s="17">
        <v>114.16815510000029</v>
      </c>
      <c r="IU25" s="17">
        <v>119.07144404000019</v>
      </c>
      <c r="IV25" s="17">
        <v>118.82557080000018</v>
      </c>
      <c r="IW25" s="17">
        <v>116.69172433000017</v>
      </c>
      <c r="IX25" s="17">
        <v>106.70547079000005</v>
      </c>
      <c r="IY25" s="17">
        <v>116.95882273000053</v>
      </c>
      <c r="IZ25" s="17">
        <v>102.56210006999984</v>
      </c>
      <c r="JA25" s="17">
        <v>108.6101542400001</v>
      </c>
      <c r="JB25" s="17">
        <v>122.89426429000035</v>
      </c>
      <c r="JC25" s="17">
        <v>111.55458238999989</v>
      </c>
      <c r="JD25" s="17">
        <v>116.62641435000006</v>
      </c>
      <c r="JE25" s="17">
        <v>110.68704518999972</v>
      </c>
      <c r="JF25" s="17">
        <v>97.867237360000303</v>
      </c>
      <c r="JG25" s="17">
        <v>101.29594120000026</v>
      </c>
      <c r="JH25" s="17">
        <v>101.13507578999952</v>
      </c>
      <c r="JI25" s="17">
        <v>104.34226223999997</v>
      </c>
      <c r="JJ25" s="17">
        <v>100.28681735000019</v>
      </c>
      <c r="JK25" s="17">
        <v>93.175908440000086</v>
      </c>
      <c r="JL25" s="17">
        <v>99.914341319999977</v>
      </c>
      <c r="JM25" s="17">
        <v>91.898943756879277</v>
      </c>
      <c r="JN25" s="17">
        <v>101.84709924143819</v>
      </c>
      <c r="JO25" s="17">
        <v>97.821902359999854</v>
      </c>
      <c r="JP25" s="17">
        <v>96.299114971368297</v>
      </c>
      <c r="JQ25" s="17">
        <v>108.07062761421577</v>
      </c>
      <c r="JR25" s="17">
        <v>92.627043401905453</v>
      </c>
      <c r="JS25" s="17">
        <v>96.282944669309288</v>
      </c>
      <c r="JT25" s="17">
        <v>89.644250952873662</v>
      </c>
      <c r="JU25" s="17">
        <v>93.411015890752481</v>
      </c>
      <c r="JV25" s="17">
        <v>94.473016161417718</v>
      </c>
      <c r="JW25" s="17">
        <v>93.786287602594271</v>
      </c>
      <c r="JX25" s="17">
        <v>98.858930324629682</v>
      </c>
      <c r="JY25" s="17">
        <v>85.474352840685356</v>
      </c>
      <c r="JZ25" s="17">
        <v>96.332545069952232</v>
      </c>
      <c r="KA25" s="17">
        <v>114.25980129287441</v>
      </c>
      <c r="KB25" s="17">
        <v>102.5967196219131</v>
      </c>
      <c r="KC25" s="17">
        <v>92.479024744048999</v>
      </c>
      <c r="KD25" s="17">
        <v>96.709851011034601</v>
      </c>
      <c r="KE25" s="17">
        <v>90.276619009431911</v>
      </c>
      <c r="KF25" s="17">
        <v>82.561939860745582</v>
      </c>
      <c r="KG25" s="17">
        <v>88.297748695398695</v>
      </c>
      <c r="KH25" s="17">
        <v>74.812955657840646</v>
      </c>
      <c r="KI25" s="17">
        <v>78.914316893319864</v>
      </c>
      <c r="KJ25" s="17">
        <v>86.285779757497096</v>
      </c>
      <c r="KK25" s="17">
        <v>77.436062220193691</v>
      </c>
      <c r="KL25" s="17">
        <v>83.97052861222403</v>
      </c>
      <c r="KM25" s="17">
        <v>97.692452984479019</v>
      </c>
      <c r="KN25" s="17">
        <v>106.72871242268559</v>
      </c>
      <c r="KO25" s="17">
        <v>90.973345897031791</v>
      </c>
      <c r="KP25" s="17">
        <v>90.823098781434567</v>
      </c>
      <c r="KQ25" s="17">
        <v>87.322960380159543</v>
      </c>
      <c r="KR25" s="17">
        <v>81.772600206535941</v>
      </c>
      <c r="KS25" s="17">
        <v>93.218718270858659</v>
      </c>
      <c r="KT25" s="17">
        <v>104.16833788542088</v>
      </c>
      <c r="KU25" s="17">
        <v>109.50515975101209</v>
      </c>
      <c r="KV25" s="17">
        <v>113.23038768337668</v>
      </c>
      <c r="KW25" s="17">
        <v>76.017709449072441</v>
      </c>
      <c r="KX25" s="17">
        <v>74.019554294370039</v>
      </c>
      <c r="KY25" s="17">
        <v>89.805771923169502</v>
      </c>
      <c r="KZ25" s="17">
        <v>80.378658629973486</v>
      </c>
      <c r="LA25" s="17">
        <v>144.39726507364327</v>
      </c>
      <c r="LB25" s="17">
        <v>93.797087665723751</v>
      </c>
      <c r="LC25" s="17">
        <v>84.243973426056698</v>
      </c>
      <c r="LD25" s="17">
        <v>82.161201143668791</v>
      </c>
      <c r="LE25" s="17">
        <v>88.432689502719228</v>
      </c>
      <c r="LF25" s="17">
        <v>84.353863503672187</v>
      </c>
      <c r="LG25" s="17">
        <v>114.08304831112689</v>
      </c>
      <c r="LH25" s="17">
        <v>108.30818942646422</v>
      </c>
      <c r="LI25" s="17">
        <v>110.97309374733329</v>
      </c>
      <c r="LJ25" s="17">
        <v>111.53509284096464</v>
      </c>
      <c r="LK25" s="17">
        <v>118.15473139550178</v>
      </c>
      <c r="LL25" s="17">
        <v>90.894367597876595</v>
      </c>
      <c r="LM25" s="17">
        <v>117.14849779481256</v>
      </c>
      <c r="LN25" s="17">
        <v>108.49161537767228</v>
      </c>
      <c r="LO25" s="17">
        <v>100.19103806000001</v>
      </c>
      <c r="LP25" s="17">
        <v>101.07008307</v>
      </c>
      <c r="LQ25" s="17">
        <v>94.927962030000145</v>
      </c>
      <c r="LR25" s="17">
        <v>102.9722214300001</v>
      </c>
      <c r="LS25" s="17">
        <v>93.541356721371415</v>
      </c>
      <c r="LT25" s="17">
        <v>95.007747499999795</v>
      </c>
      <c r="LU25" s="149"/>
    </row>
    <row r="26" spans="1:333" x14ac:dyDescent="0.3"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149"/>
    </row>
    <row r="27" spans="1:333" x14ac:dyDescent="0.3">
      <c r="A27" s="1" t="s">
        <v>18</v>
      </c>
      <c r="B27" s="1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  <c r="AP27" s="9">
        <v>0</v>
      </c>
      <c r="AQ27" s="9">
        <v>0</v>
      </c>
      <c r="AR27" s="9">
        <v>0</v>
      </c>
      <c r="AS27" s="9">
        <v>0</v>
      </c>
      <c r="AT27" s="9">
        <v>0</v>
      </c>
      <c r="AU27" s="9">
        <v>0</v>
      </c>
      <c r="AV27" s="9">
        <v>0</v>
      </c>
      <c r="AW27" s="9">
        <v>0</v>
      </c>
      <c r="AX27" s="9">
        <v>0</v>
      </c>
      <c r="AY27" s="9">
        <v>0</v>
      </c>
      <c r="AZ27" s="9">
        <v>0</v>
      </c>
      <c r="BA27" s="9">
        <v>0</v>
      </c>
      <c r="BB27" s="9">
        <v>0</v>
      </c>
      <c r="BC27" s="9">
        <v>0</v>
      </c>
      <c r="BD27" s="9">
        <v>0</v>
      </c>
      <c r="BE27" s="9">
        <v>0</v>
      </c>
      <c r="BF27" s="9">
        <v>0</v>
      </c>
      <c r="BG27" s="9">
        <v>0</v>
      </c>
      <c r="BH27" s="9">
        <v>0</v>
      </c>
      <c r="BI27" s="9">
        <v>0</v>
      </c>
      <c r="BJ27" s="9">
        <v>0</v>
      </c>
      <c r="BK27" s="9">
        <v>0</v>
      </c>
      <c r="BL27" s="9">
        <v>0</v>
      </c>
      <c r="BM27" s="9">
        <v>0</v>
      </c>
      <c r="BN27" s="9">
        <v>0</v>
      </c>
      <c r="BO27" s="9">
        <v>0</v>
      </c>
      <c r="BP27" s="9">
        <v>0</v>
      </c>
      <c r="BQ27" s="9">
        <v>0</v>
      </c>
      <c r="BR27" s="9">
        <v>0</v>
      </c>
      <c r="BS27" s="9">
        <v>0</v>
      </c>
      <c r="BT27" s="9">
        <v>0</v>
      </c>
      <c r="BU27" s="9">
        <v>0</v>
      </c>
      <c r="BV27" s="9">
        <v>0</v>
      </c>
      <c r="BW27" s="9">
        <v>0</v>
      </c>
      <c r="BX27" s="9">
        <v>0</v>
      </c>
      <c r="BY27" s="9">
        <v>0</v>
      </c>
      <c r="BZ27" s="9">
        <v>0</v>
      </c>
      <c r="CA27" s="9">
        <v>0</v>
      </c>
      <c r="CB27" s="9">
        <v>0</v>
      </c>
      <c r="CC27" s="9">
        <v>0</v>
      </c>
      <c r="CD27" s="9">
        <v>0</v>
      </c>
      <c r="CE27" s="9">
        <v>0</v>
      </c>
      <c r="CF27" s="9">
        <v>0</v>
      </c>
      <c r="CG27" s="9">
        <v>0</v>
      </c>
      <c r="CH27" s="9">
        <v>0</v>
      </c>
      <c r="CI27" s="9">
        <v>0</v>
      </c>
      <c r="CJ27" s="9">
        <v>0</v>
      </c>
      <c r="CK27" s="9">
        <v>0</v>
      </c>
      <c r="CL27" s="9">
        <v>0</v>
      </c>
      <c r="CM27" s="9">
        <v>0</v>
      </c>
      <c r="CN27" s="9">
        <v>0</v>
      </c>
      <c r="CO27" s="9">
        <v>0</v>
      </c>
      <c r="CP27" s="9">
        <v>0</v>
      </c>
      <c r="CQ27" s="9">
        <v>0</v>
      </c>
      <c r="CR27" s="9">
        <v>0</v>
      </c>
      <c r="CS27" s="9">
        <v>0</v>
      </c>
      <c r="CT27" s="9">
        <v>0</v>
      </c>
      <c r="CU27" s="9">
        <v>0</v>
      </c>
      <c r="CV27" s="9">
        <v>0</v>
      </c>
      <c r="CW27" s="9">
        <v>0</v>
      </c>
      <c r="CX27" s="9">
        <v>0</v>
      </c>
      <c r="CY27" s="9">
        <v>0</v>
      </c>
      <c r="CZ27" s="9">
        <v>0</v>
      </c>
      <c r="DA27" s="9">
        <v>0</v>
      </c>
      <c r="DB27" s="9">
        <v>0</v>
      </c>
      <c r="DC27" s="9">
        <v>0</v>
      </c>
      <c r="DD27" s="9">
        <v>0</v>
      </c>
      <c r="DE27" s="9">
        <v>0</v>
      </c>
      <c r="DF27" s="9">
        <v>0</v>
      </c>
      <c r="DG27" s="9">
        <v>0</v>
      </c>
      <c r="DH27" s="9">
        <v>0</v>
      </c>
      <c r="DI27" s="9">
        <v>0</v>
      </c>
      <c r="DJ27" s="9">
        <v>0</v>
      </c>
      <c r="DK27" s="9">
        <v>0</v>
      </c>
      <c r="DL27" s="9">
        <v>0</v>
      </c>
      <c r="DM27" s="9">
        <v>0</v>
      </c>
      <c r="DN27" s="9">
        <v>0</v>
      </c>
      <c r="DO27" s="9">
        <v>0</v>
      </c>
      <c r="DP27" s="9">
        <v>0</v>
      </c>
      <c r="DQ27" s="9">
        <v>0</v>
      </c>
      <c r="DR27" s="9">
        <v>0</v>
      </c>
      <c r="DS27" s="9">
        <v>0</v>
      </c>
      <c r="DT27" s="9">
        <v>0</v>
      </c>
      <c r="DU27" s="9">
        <v>0</v>
      </c>
      <c r="DV27" s="9">
        <v>0</v>
      </c>
      <c r="DW27" s="9">
        <v>0</v>
      </c>
      <c r="DX27" s="9">
        <v>0</v>
      </c>
      <c r="DY27" s="9">
        <v>0</v>
      </c>
      <c r="DZ27" s="9">
        <v>0</v>
      </c>
      <c r="EA27" s="9">
        <v>0</v>
      </c>
      <c r="EB27" s="9">
        <v>0</v>
      </c>
      <c r="EC27" s="9">
        <v>0</v>
      </c>
      <c r="ED27" s="9">
        <v>0</v>
      </c>
      <c r="EE27" s="9">
        <v>0</v>
      </c>
      <c r="EF27" s="9">
        <v>0</v>
      </c>
      <c r="EG27" s="9">
        <v>0</v>
      </c>
      <c r="EH27" s="9">
        <v>0</v>
      </c>
      <c r="EI27" s="9">
        <v>0</v>
      </c>
      <c r="EJ27" s="9">
        <v>0</v>
      </c>
      <c r="EK27" s="9">
        <v>0.80630771838003157</v>
      </c>
      <c r="EL27" s="9">
        <v>0.89419525968345503</v>
      </c>
      <c r="EM27" s="9">
        <v>0.99166254298895162</v>
      </c>
      <c r="EN27" s="9">
        <v>1.0997537601747474</v>
      </c>
      <c r="EO27" s="9">
        <v>1.2196269200337948</v>
      </c>
      <c r="EP27" s="9">
        <v>1.3525662543174783</v>
      </c>
      <c r="EQ27" s="9">
        <v>1.6634955374262346</v>
      </c>
      <c r="ER27" s="9">
        <v>1.8448165510056942</v>
      </c>
      <c r="ES27" s="9">
        <v>2.0459015550653148</v>
      </c>
      <c r="ET27" s="9">
        <v>2.2689048245674339</v>
      </c>
      <c r="EU27" s="9">
        <v>2.5162154504452841</v>
      </c>
      <c r="EV27" s="9">
        <v>2.79048293454382</v>
      </c>
      <c r="EW27" s="9">
        <v>3.0946455744090962</v>
      </c>
      <c r="EX27" s="9">
        <v>3.4319619420196901</v>
      </c>
      <c r="EY27" s="9">
        <v>3.8060457936998331</v>
      </c>
      <c r="EZ27" s="9">
        <v>4.220904785213115</v>
      </c>
      <c r="FA27" s="9">
        <v>4.6809834068013441</v>
      </c>
      <c r="FB27" s="9">
        <v>5.1912105981426908</v>
      </c>
      <c r="FC27" s="9">
        <v>5.7570525533402446</v>
      </c>
      <c r="FD27" s="9">
        <v>6.3845712816543303</v>
      </c>
      <c r="FE27" s="9">
        <v>7.0804895513546535</v>
      </c>
      <c r="FF27" s="9">
        <v>7.8522629124523089</v>
      </c>
      <c r="FG27" s="9">
        <v>8.7081595699096113</v>
      </c>
      <c r="FH27" s="9">
        <v>9.657348963029758</v>
      </c>
      <c r="FI27" s="9">
        <v>10.710077360000001</v>
      </c>
      <c r="FJ27" s="9">
        <v>11.217258189999999</v>
      </c>
      <c r="FK27" s="9">
        <v>13.384313369999997</v>
      </c>
      <c r="FL27" s="9">
        <v>17.574355709999999</v>
      </c>
      <c r="FM27" s="9">
        <v>21.764399560000001</v>
      </c>
      <c r="FN27" s="9">
        <v>13.245988409999999</v>
      </c>
      <c r="FO27" s="9">
        <v>13.75317021</v>
      </c>
      <c r="FP27" s="9">
        <v>14.829186590000001</v>
      </c>
      <c r="FQ27" s="9">
        <v>15.90520278</v>
      </c>
      <c r="FR27" s="9">
        <v>20.623790609999997</v>
      </c>
      <c r="FS27" s="9">
        <v>20.335754850000001</v>
      </c>
      <c r="FT27" s="9">
        <v>26.963299549999999</v>
      </c>
      <c r="FU27" s="9">
        <v>7.8638585799999996</v>
      </c>
      <c r="FV27" s="9">
        <v>10.491826849999999</v>
      </c>
      <c r="FW27" s="9">
        <v>13.119789600000001</v>
      </c>
      <c r="FX27" s="9">
        <v>16.648706100000002</v>
      </c>
      <c r="FY27" s="9">
        <v>20.177345929999998</v>
      </c>
      <c r="FZ27" s="9">
        <v>21.035420760000001</v>
      </c>
      <c r="GA27" s="9">
        <v>23.830459350000005</v>
      </c>
      <c r="GB27" s="9">
        <v>22.275786369999999</v>
      </c>
      <c r="GC27" s="9">
        <v>20.720537520000001</v>
      </c>
      <c r="GD27" s="9">
        <v>21.60333704</v>
      </c>
      <c r="GE27" s="9">
        <v>22.486029829999996</v>
      </c>
      <c r="GF27" s="9">
        <v>31.487936140000002</v>
      </c>
      <c r="GG27" s="9">
        <v>22.892454722759986</v>
      </c>
      <c r="GH27" s="9">
        <v>25.579183019040006</v>
      </c>
      <c r="GI27" s="9">
        <v>22.601052274640001</v>
      </c>
      <c r="GJ27" s="9">
        <v>15.988279861960001</v>
      </c>
      <c r="GK27" s="9">
        <v>18.108689103119993</v>
      </c>
      <c r="GL27" s="9">
        <v>21.651741085239994</v>
      </c>
      <c r="GM27" s="9">
        <v>28.904329710723889</v>
      </c>
      <c r="GN27" s="9">
        <v>37.520729410047558</v>
      </c>
      <c r="GO27" s="9">
        <v>33.321097557013836</v>
      </c>
      <c r="GP27" s="9">
        <v>40.975873468864052</v>
      </c>
      <c r="GQ27" s="9">
        <v>65.668757887844066</v>
      </c>
      <c r="GR27" s="9">
        <v>97.65528176816288</v>
      </c>
      <c r="GS27" s="9">
        <v>51.008101724913068</v>
      </c>
      <c r="GT27" s="9">
        <v>46.097896668866838</v>
      </c>
      <c r="GU27" s="9">
        <v>43.721507981563988</v>
      </c>
      <c r="GV27" s="9">
        <v>46.034026652992523</v>
      </c>
      <c r="GW27" s="9">
        <v>43.986750522466131</v>
      </c>
      <c r="GX27" s="9">
        <v>50.301341266953379</v>
      </c>
      <c r="GY27" s="9">
        <v>44.230845859182701</v>
      </c>
      <c r="GZ27" s="9">
        <v>46.948900666902432</v>
      </c>
      <c r="HA27" s="9">
        <v>41.214107277121514</v>
      </c>
      <c r="HB27" s="9">
        <v>48.061175511132419</v>
      </c>
      <c r="HC27" s="9">
        <v>49.114630713696705</v>
      </c>
      <c r="HD27" s="9">
        <v>43.365440113867528</v>
      </c>
      <c r="HE27" s="9">
        <v>64.527198290160072</v>
      </c>
      <c r="HF27" s="9">
        <v>52.338240532850079</v>
      </c>
      <c r="HG27" s="9">
        <v>56.596027380389906</v>
      </c>
      <c r="HH27" s="9">
        <v>71.5335037395201</v>
      </c>
      <c r="HI27" s="9">
        <v>74.580648080619895</v>
      </c>
      <c r="HJ27" s="9">
        <v>58.202448109860143</v>
      </c>
      <c r="HK27" s="9">
        <v>60.049875435069978</v>
      </c>
      <c r="HL27" s="9">
        <v>61.393125370770221</v>
      </c>
      <c r="HM27" s="9">
        <v>61.741338111060131</v>
      </c>
      <c r="HN27" s="9">
        <v>71.206350429989968</v>
      </c>
      <c r="HO27" s="9">
        <v>76.286532828680009</v>
      </c>
      <c r="HP27" s="9">
        <v>95.08875403055012</v>
      </c>
      <c r="HQ27" s="9">
        <v>67.395006159999994</v>
      </c>
      <c r="HR27" s="9">
        <v>53.492133760000002</v>
      </c>
      <c r="HS27" s="9">
        <v>46.945030859999996</v>
      </c>
      <c r="HT27" s="9">
        <v>40.397918250000295</v>
      </c>
      <c r="HU27" s="9">
        <v>37.178294609999902</v>
      </c>
      <c r="HV27" s="9">
        <v>33.958665429999414</v>
      </c>
      <c r="HW27" s="9">
        <v>36.6919356599997</v>
      </c>
      <c r="HX27" s="9">
        <v>41.808096149999997</v>
      </c>
      <c r="HY27" s="9">
        <v>40.414756009999785</v>
      </c>
      <c r="HZ27" s="9">
        <v>38.834431469999998</v>
      </c>
      <c r="IA27" s="9">
        <v>45.166322319999999</v>
      </c>
      <c r="IB27" s="9">
        <v>46.054189609999995</v>
      </c>
      <c r="IC27" s="9">
        <v>31.524521409999718</v>
      </c>
      <c r="ID27" s="9">
        <v>28.367810120000094</v>
      </c>
      <c r="IE27" s="9">
        <v>25.211093499999446</v>
      </c>
      <c r="IF27" s="9">
        <v>22.967011770000127</v>
      </c>
      <c r="IG27" s="9">
        <v>29.517079690309924</v>
      </c>
      <c r="IH27" s="9">
        <v>31.800979869999697</v>
      </c>
      <c r="II27" s="9">
        <v>32.757956159999651</v>
      </c>
      <c r="IJ27" s="9">
        <v>36.530628299999726</v>
      </c>
      <c r="IK27" s="9">
        <v>29.278542800000174</v>
      </c>
      <c r="IL27" s="9">
        <v>25.701849130000205</v>
      </c>
      <c r="IM27" s="9">
        <v>30.331809710000304</v>
      </c>
      <c r="IN27" s="9">
        <v>31.847402180001076</v>
      </c>
      <c r="IO27" s="9">
        <v>31.686319510000168</v>
      </c>
      <c r="IP27" s="9">
        <v>27.796183209999402</v>
      </c>
      <c r="IQ27" s="9">
        <v>33.922443380000132</v>
      </c>
      <c r="IR27" s="9">
        <v>34.587046640000146</v>
      </c>
      <c r="IS27" s="9">
        <v>35.28034987999964</v>
      </c>
      <c r="IT27" s="9">
        <v>33.61352359999956</v>
      </c>
      <c r="IU27" s="9">
        <v>29.886976730000537</v>
      </c>
      <c r="IV27" s="9">
        <v>40.289483849999968</v>
      </c>
      <c r="IW27" s="9">
        <v>42.789633199999948</v>
      </c>
      <c r="IX27" s="9">
        <v>45.457986315500278</v>
      </c>
      <c r="IY27" s="9">
        <v>45.357085909999988</v>
      </c>
      <c r="IZ27" s="9">
        <v>53.058737440000854</v>
      </c>
      <c r="JA27" s="9">
        <v>43.836278790000378</v>
      </c>
      <c r="JB27" s="9">
        <v>34.613819220000096</v>
      </c>
      <c r="JC27" s="9">
        <v>33.272179619999847</v>
      </c>
      <c r="JD27" s="9">
        <v>31.930538289999955</v>
      </c>
      <c r="JE27" s="9">
        <v>36.549543990000608</v>
      </c>
      <c r="JF27" s="9">
        <v>31.506431829999968</v>
      </c>
      <c r="JG27" s="9">
        <v>34.045899740534956</v>
      </c>
      <c r="JH27" s="9">
        <v>36.585367651069951</v>
      </c>
      <c r="JI27" s="9">
        <v>36.161764978919955</v>
      </c>
      <c r="JJ27" s="9">
        <v>33.673727993101423</v>
      </c>
      <c r="JK27" s="9">
        <v>34.679893426829871</v>
      </c>
      <c r="JL27" s="9">
        <v>34.406184579999561</v>
      </c>
      <c r="JM27" s="9">
        <v>30.167231307929971</v>
      </c>
      <c r="JN27" s="9">
        <v>25.97980079348001</v>
      </c>
      <c r="JO27" s="9">
        <v>29.393397742940017</v>
      </c>
      <c r="JP27" s="9">
        <v>29.730898152289999</v>
      </c>
      <c r="JQ27" s="9">
        <v>34.10999368673</v>
      </c>
      <c r="JR27" s="9">
        <v>36.74158331280001</v>
      </c>
      <c r="JS27" s="9">
        <v>33.117396776690022</v>
      </c>
      <c r="JT27" s="9">
        <v>33.538249581300001</v>
      </c>
      <c r="JU27" s="9">
        <v>32.530608630670002</v>
      </c>
      <c r="JV27" s="9">
        <v>36.18317536832997</v>
      </c>
      <c r="JW27" s="9">
        <v>42.40595754977997</v>
      </c>
      <c r="JX27" s="9">
        <v>50.692358441389977</v>
      </c>
      <c r="JY27" s="9">
        <v>30.852713284029981</v>
      </c>
      <c r="JZ27" s="9">
        <v>31.957819409560003</v>
      </c>
      <c r="KA27" s="9">
        <v>35.090930045059963</v>
      </c>
      <c r="KB27" s="9">
        <v>35.47591115941001</v>
      </c>
      <c r="KC27" s="9">
        <v>37.36033904184999</v>
      </c>
      <c r="KD27" s="9">
        <v>39.376425672119993</v>
      </c>
      <c r="KE27" s="9">
        <v>30.355905281109976</v>
      </c>
      <c r="KF27" s="9">
        <v>37.123069354900004</v>
      </c>
      <c r="KG27" s="9">
        <v>28.891992302740004</v>
      </c>
      <c r="KH27" s="9">
        <v>26.989997566280017</v>
      </c>
      <c r="KI27" s="9">
        <v>26.843482822269984</v>
      </c>
      <c r="KJ27" s="9">
        <v>38.806983021909986</v>
      </c>
      <c r="KK27" s="9">
        <v>35.489353020290018</v>
      </c>
      <c r="KL27" s="9">
        <v>35.153698337880037</v>
      </c>
      <c r="KM27" s="9">
        <v>32.866775087152327</v>
      </c>
      <c r="KN27" s="9">
        <v>31.520543311703879</v>
      </c>
      <c r="KO27" s="9">
        <v>30.174311536189997</v>
      </c>
      <c r="KP27" s="9">
        <v>35.482098347229993</v>
      </c>
      <c r="KQ27" s="9">
        <v>31.64850438301006</v>
      </c>
      <c r="KR27" s="9">
        <v>31.049591378959992</v>
      </c>
      <c r="KS27" s="9">
        <v>30.450678382359975</v>
      </c>
      <c r="KT27" s="9">
        <v>38.489111976030024</v>
      </c>
      <c r="KU27" s="9">
        <v>41.157827537939966</v>
      </c>
      <c r="KV27" s="9">
        <v>45.753456203910062</v>
      </c>
      <c r="KW27" s="9">
        <v>49.912132666589955</v>
      </c>
      <c r="KX27" s="9">
        <v>42.19373333868009</v>
      </c>
      <c r="KY27" s="9">
        <v>42.783025160059999</v>
      </c>
      <c r="KZ27" s="9">
        <v>46.854347542069988</v>
      </c>
      <c r="LA27" s="9">
        <v>43.413985886159949</v>
      </c>
      <c r="LB27" s="9">
        <v>39.97362424492006</v>
      </c>
      <c r="LC27" s="9">
        <v>43.672658655139969</v>
      </c>
      <c r="LD27" s="9">
        <v>41.838047847079984</v>
      </c>
      <c r="LE27" s="9">
        <v>40.003437039020021</v>
      </c>
      <c r="LF27" s="9">
        <v>48.636212283960006</v>
      </c>
      <c r="LG27" s="9">
        <v>51.089486218230086</v>
      </c>
      <c r="LH27" s="9">
        <v>58.669530757820077</v>
      </c>
      <c r="LI27" s="9">
        <v>52.798409753336713</v>
      </c>
      <c r="LJ27" s="9">
        <v>54.185808909795625</v>
      </c>
      <c r="LK27" s="9">
        <v>55.217916473650817</v>
      </c>
      <c r="LL27" s="9">
        <v>46.939762786310055</v>
      </c>
      <c r="LM27" s="9">
        <v>52.709385644950011</v>
      </c>
      <c r="LN27" s="9">
        <v>43.269975575519958</v>
      </c>
      <c r="LO27" s="9">
        <v>43.162584521079999</v>
      </c>
      <c r="LP27" s="9">
        <v>41.471414719999927</v>
      </c>
      <c r="LQ27" s="9">
        <v>38.844683695030056</v>
      </c>
      <c r="LR27" s="9">
        <v>41.159560978703325</v>
      </c>
      <c r="LS27" s="9">
        <v>40.491886464577767</v>
      </c>
      <c r="LT27" s="9">
        <v>40.165377046103721</v>
      </c>
      <c r="LU27" s="149"/>
    </row>
    <row r="28" spans="1:333" x14ac:dyDescent="0.3">
      <c r="A28" s="18"/>
      <c r="B28" s="18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149"/>
    </row>
    <row r="29" spans="1:333" x14ac:dyDescent="0.3">
      <c r="A29" s="1" t="s">
        <v>19</v>
      </c>
      <c r="B29" s="1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9">
        <v>4.9619999999999997</v>
      </c>
      <c r="CJ29" s="9">
        <v>2.407</v>
      </c>
      <c r="CK29" s="9">
        <v>3.714</v>
      </c>
      <c r="CL29" s="9">
        <v>5.6459999999999999</v>
      </c>
      <c r="CM29" s="9">
        <v>9.2769999999999992</v>
      </c>
      <c r="CN29" s="9">
        <v>9.9060000000000006</v>
      </c>
      <c r="CO29" s="9">
        <v>2.1520000000000001</v>
      </c>
      <c r="CP29" s="9">
        <v>3.1539999999999999</v>
      </c>
      <c r="CQ29" s="9">
        <v>3.8110000000000008</v>
      </c>
      <c r="CR29" s="9">
        <v>2.7729999999999997</v>
      </c>
      <c r="CS29" s="9">
        <v>3.8059999999999996</v>
      </c>
      <c r="CT29" s="9">
        <v>6.0930000000000009</v>
      </c>
      <c r="CU29" s="9">
        <v>3.31</v>
      </c>
      <c r="CV29" s="9">
        <v>2.7730000000000001</v>
      </c>
      <c r="CW29" s="9">
        <v>2.3890000000000002</v>
      </c>
      <c r="CX29" s="9">
        <v>2.8689999999999998</v>
      </c>
      <c r="CY29" s="9">
        <v>3.6309999999999998</v>
      </c>
      <c r="CZ29" s="9">
        <v>4.5828850000000001</v>
      </c>
      <c r="DA29" s="9">
        <v>4.2526999999999999</v>
      </c>
      <c r="DB29" s="9">
        <v>2.9020000000000001</v>
      </c>
      <c r="DC29" s="9">
        <v>6.0469999999999997</v>
      </c>
      <c r="DD29" s="9">
        <v>12.755000000000001</v>
      </c>
      <c r="DE29" s="9">
        <v>5.7759999999999998</v>
      </c>
      <c r="DF29" s="9">
        <v>5.3640000000000008</v>
      </c>
      <c r="DG29" s="9">
        <v>2.927</v>
      </c>
      <c r="DH29" s="9">
        <v>4.4619999999999997</v>
      </c>
      <c r="DI29" s="9">
        <v>3.3579999999999997</v>
      </c>
      <c r="DJ29" s="9">
        <v>3.9159999999999995</v>
      </c>
      <c r="DK29" s="9">
        <v>5.1469999999999994</v>
      </c>
      <c r="DL29" s="9">
        <v>2.919</v>
      </c>
      <c r="DM29" s="9">
        <v>2.6559999999999997</v>
      </c>
      <c r="DN29" s="9">
        <v>2.9169999999999998</v>
      </c>
      <c r="DO29" s="9">
        <v>3.6560000000000001</v>
      </c>
      <c r="DP29" s="9">
        <v>5.383</v>
      </c>
      <c r="DQ29" s="9">
        <v>7.5360000000000014</v>
      </c>
      <c r="DR29" s="9">
        <v>4.0629999999999997</v>
      </c>
      <c r="DS29" s="9">
        <v>5.0129999999999999</v>
      </c>
      <c r="DT29" s="9">
        <v>6.2110000000000003</v>
      </c>
      <c r="DU29" s="9">
        <v>4.843</v>
      </c>
      <c r="DV29" s="9">
        <v>6.2450000000000001</v>
      </c>
      <c r="DW29" s="9">
        <v>5.1989999999999998</v>
      </c>
      <c r="DX29" s="9">
        <v>3.1430000000000002</v>
      </c>
      <c r="DY29" s="9">
        <v>3.9459999999999997</v>
      </c>
      <c r="DZ29" s="9">
        <v>3.4550000000000001</v>
      </c>
      <c r="EA29" s="9">
        <v>4.7210000000000001</v>
      </c>
      <c r="EB29" s="9">
        <v>5.2330000000000005</v>
      </c>
      <c r="EC29" s="9">
        <v>3.5039999999999996</v>
      </c>
      <c r="ED29" s="9">
        <v>4.9619999999999997</v>
      </c>
      <c r="EE29" s="9">
        <v>5.157</v>
      </c>
      <c r="EF29" s="9">
        <v>5.4420000000000002</v>
      </c>
      <c r="EG29" s="9">
        <v>7.0889999999999995</v>
      </c>
      <c r="EH29" s="9">
        <v>7.1550000000000002</v>
      </c>
      <c r="EI29" s="9">
        <v>3.5640000000000001</v>
      </c>
      <c r="EJ29" s="9">
        <v>3.4601389999999999</v>
      </c>
      <c r="EK29" s="9">
        <v>3.6692030000000004</v>
      </c>
      <c r="EL29" s="9">
        <v>6.4784649999999999</v>
      </c>
      <c r="EM29" s="9">
        <v>6.7733859999999995</v>
      </c>
      <c r="EN29" s="9">
        <v>7.5688800000000001</v>
      </c>
      <c r="EO29" s="9">
        <v>6.625</v>
      </c>
      <c r="EP29" s="9">
        <v>7.1379999999999999</v>
      </c>
      <c r="EQ29" s="9">
        <v>7.8859999999999983</v>
      </c>
      <c r="ER29" s="9">
        <v>12.049999999999999</v>
      </c>
      <c r="ES29" s="9">
        <v>10.815999999999999</v>
      </c>
      <c r="ET29" s="9">
        <v>6.6400000000000006</v>
      </c>
      <c r="EU29" s="9">
        <v>7.9260000000000002</v>
      </c>
      <c r="EV29" s="9">
        <v>9.9209999999999994</v>
      </c>
      <c r="EW29" s="9">
        <v>8.6089999999999982</v>
      </c>
      <c r="EX29" s="9">
        <v>6.2379999999999995</v>
      </c>
      <c r="EY29" s="9">
        <v>8.2579999999999991</v>
      </c>
      <c r="EZ29" s="9">
        <v>6.2230000000000008</v>
      </c>
      <c r="FA29" s="9">
        <v>5.9219999999999988</v>
      </c>
      <c r="FB29" s="9">
        <v>6.528999999999999</v>
      </c>
      <c r="FC29" s="9">
        <v>10.120000000000001</v>
      </c>
      <c r="FD29" s="9">
        <v>19.141999999999999</v>
      </c>
      <c r="FE29" s="9">
        <v>10.673</v>
      </c>
      <c r="FF29" s="9">
        <v>12.521000000000001</v>
      </c>
      <c r="FG29" s="9">
        <v>13.722000000000001</v>
      </c>
      <c r="FH29" s="9">
        <v>15.161000000000001</v>
      </c>
      <c r="FI29" s="9">
        <v>11.443</v>
      </c>
      <c r="FJ29" s="9">
        <v>12.550999999999998</v>
      </c>
      <c r="FK29" s="9">
        <v>16.783999999999999</v>
      </c>
      <c r="FL29" s="9">
        <v>15.587999999999999</v>
      </c>
      <c r="FM29" s="9">
        <v>15.402000000000001</v>
      </c>
      <c r="FN29" s="9">
        <v>14.714535000000001</v>
      </c>
      <c r="FO29" s="9">
        <v>15.913</v>
      </c>
      <c r="FP29" s="9">
        <v>17.747999999999998</v>
      </c>
      <c r="FQ29" s="9">
        <v>17.224</v>
      </c>
      <c r="FR29" s="9">
        <v>18.036000000000001</v>
      </c>
      <c r="FS29" s="9">
        <v>19.306000000000001</v>
      </c>
      <c r="FT29" s="9">
        <v>18.408000000000001</v>
      </c>
      <c r="FU29" s="9">
        <v>21.395</v>
      </c>
      <c r="FV29" s="9">
        <v>14.702</v>
      </c>
      <c r="FW29" s="9">
        <v>14.340999999999999</v>
      </c>
      <c r="FX29" s="9">
        <v>9.1749999999999989</v>
      </c>
      <c r="FY29" s="9">
        <v>14.637</v>
      </c>
      <c r="FZ29" s="9">
        <v>25.184999999999999</v>
      </c>
      <c r="GA29" s="9">
        <v>22.555</v>
      </c>
      <c r="GB29" s="9">
        <v>26.474</v>
      </c>
      <c r="GC29" s="9">
        <v>26.984999999999999</v>
      </c>
      <c r="GD29" s="9">
        <v>35.72</v>
      </c>
      <c r="GE29" s="9">
        <v>32.073</v>
      </c>
      <c r="GF29" s="9">
        <v>33.83</v>
      </c>
      <c r="GG29" s="9">
        <v>38.213000000000001</v>
      </c>
      <c r="GH29" s="9">
        <v>36.739999999999995</v>
      </c>
      <c r="GI29" s="9">
        <v>45.975000000000001</v>
      </c>
      <c r="GJ29" s="9">
        <v>41.356999999999999</v>
      </c>
      <c r="GK29" s="9">
        <v>59.819999999999993</v>
      </c>
      <c r="GL29" s="9">
        <v>50.872</v>
      </c>
      <c r="GM29" s="9">
        <v>45.701999999999998</v>
      </c>
      <c r="GN29" s="9">
        <v>52.442</v>
      </c>
      <c r="GO29" s="9">
        <v>54.102000000000004</v>
      </c>
      <c r="GP29" s="9">
        <v>56.22999999999999</v>
      </c>
      <c r="GQ29" s="9">
        <v>52.040999999999997</v>
      </c>
      <c r="GR29" s="9">
        <v>52.490000000000009</v>
      </c>
      <c r="GS29" s="9">
        <v>57.841999999999999</v>
      </c>
      <c r="GT29" s="9">
        <v>50.637</v>
      </c>
      <c r="GU29" s="9">
        <v>54.933999999999997</v>
      </c>
      <c r="GV29" s="9">
        <v>60.449000000000012</v>
      </c>
      <c r="GW29" s="9">
        <v>66.12</v>
      </c>
      <c r="GX29" s="9">
        <v>62.798000000000002</v>
      </c>
      <c r="GY29" s="9">
        <v>84.47</v>
      </c>
      <c r="GZ29" s="9">
        <v>68.708999999999989</v>
      </c>
      <c r="HA29" s="9">
        <v>61.250999999999991</v>
      </c>
      <c r="HB29" s="9">
        <v>66.186000000000007</v>
      </c>
      <c r="HC29" s="9">
        <v>58.728999999999999</v>
      </c>
      <c r="HD29" s="9">
        <v>53.677000000000007</v>
      </c>
      <c r="HE29" s="9">
        <v>55.192</v>
      </c>
      <c r="HF29" s="9">
        <v>59.041000000000004</v>
      </c>
      <c r="HG29" s="9">
        <v>58.143000000000008</v>
      </c>
      <c r="HH29" s="9">
        <v>62.004999999999995</v>
      </c>
      <c r="HI29" s="9">
        <v>52.368000000000002</v>
      </c>
      <c r="HJ29" s="9">
        <v>55.486999999999995</v>
      </c>
      <c r="HK29" s="9">
        <v>61.16899999999999</v>
      </c>
      <c r="HL29" s="9">
        <v>65.873000000000005</v>
      </c>
      <c r="HM29" s="9">
        <v>63.83</v>
      </c>
      <c r="HN29" s="9">
        <v>73.248999999999995</v>
      </c>
      <c r="HO29" s="9">
        <v>60.137999999999998</v>
      </c>
      <c r="HP29" s="9">
        <v>66.978000000000009</v>
      </c>
      <c r="HQ29" s="9">
        <v>57.26</v>
      </c>
      <c r="HR29" s="9">
        <v>60.585000000000008</v>
      </c>
      <c r="HS29" s="9">
        <v>72.637999999999991</v>
      </c>
      <c r="HT29" s="9">
        <v>62.766000000000005</v>
      </c>
      <c r="HU29" s="9">
        <v>65.834999999999994</v>
      </c>
      <c r="HV29" s="9">
        <v>64.606999999999999</v>
      </c>
      <c r="HW29" s="9">
        <v>53.224000000000004</v>
      </c>
      <c r="HX29" s="9">
        <v>78.275000000000006</v>
      </c>
      <c r="HY29" s="9">
        <v>61.072999999999993</v>
      </c>
      <c r="HZ29" s="9">
        <v>67.923000000000002</v>
      </c>
      <c r="IA29" s="9">
        <v>60.756</v>
      </c>
      <c r="IB29" s="9">
        <v>67.186999999999983</v>
      </c>
      <c r="IC29" s="9">
        <v>71.194893020000123</v>
      </c>
      <c r="ID29" s="9">
        <v>81.032904560000105</v>
      </c>
      <c r="IE29" s="9">
        <v>89.581242090000003</v>
      </c>
      <c r="IF29" s="9">
        <v>83.077436490000025</v>
      </c>
      <c r="IG29" s="9">
        <v>89.625838739999978</v>
      </c>
      <c r="IH29" s="9">
        <v>86.921217770000013</v>
      </c>
      <c r="II29" s="9">
        <v>86.96363403000025</v>
      </c>
      <c r="IJ29" s="9">
        <v>92.657302690000108</v>
      </c>
      <c r="IK29" s="9">
        <v>79.253148339999825</v>
      </c>
      <c r="IL29" s="9">
        <v>87.826662570000252</v>
      </c>
      <c r="IM29" s="9">
        <v>94.692986340000317</v>
      </c>
      <c r="IN29" s="9">
        <v>101.75422262000009</v>
      </c>
      <c r="IO29" s="9">
        <v>94.953314749999976</v>
      </c>
      <c r="IP29" s="9">
        <v>96.045977330000042</v>
      </c>
      <c r="IQ29" s="9">
        <v>103.40983286999999</v>
      </c>
      <c r="IR29" s="9">
        <v>106.3663236281345</v>
      </c>
      <c r="IS29" s="9">
        <v>107.5820535899999</v>
      </c>
      <c r="IT29" s="9">
        <v>114.16815510000029</v>
      </c>
      <c r="IU29" s="9">
        <v>119.07144404000019</v>
      </c>
      <c r="IV29" s="9">
        <v>118.82557080000018</v>
      </c>
      <c r="IW29" s="9">
        <v>116.69172433000017</v>
      </c>
      <c r="IX29" s="9">
        <v>106.70547079000005</v>
      </c>
      <c r="IY29" s="9">
        <v>116.95882273000053</v>
      </c>
      <c r="IZ29" s="9">
        <v>102.56210006999984</v>
      </c>
      <c r="JA29" s="9">
        <v>108.6101542400001</v>
      </c>
      <c r="JB29" s="9">
        <v>122.89426429000035</v>
      </c>
      <c r="JC29" s="9">
        <v>111.55458238999989</v>
      </c>
      <c r="JD29" s="9">
        <v>116.62641435000006</v>
      </c>
      <c r="JE29" s="9">
        <v>110.68704518999972</v>
      </c>
      <c r="JF29" s="9">
        <v>97.867237360000303</v>
      </c>
      <c r="JG29" s="9">
        <v>101.29594120000026</v>
      </c>
      <c r="JH29" s="9">
        <v>101.13507578999952</v>
      </c>
      <c r="JI29" s="9">
        <v>104.34226223999997</v>
      </c>
      <c r="JJ29" s="9">
        <v>100.28681735000019</v>
      </c>
      <c r="JK29" s="9">
        <v>93.175908440000086</v>
      </c>
      <c r="JL29" s="9">
        <v>99.914341319999977</v>
      </c>
      <c r="JM29" s="9">
        <v>91.898943756879277</v>
      </c>
      <c r="JN29" s="9">
        <v>101.84709924143819</v>
      </c>
      <c r="JO29" s="9">
        <v>97.821902359999854</v>
      </c>
      <c r="JP29" s="9">
        <v>96.299114971368297</v>
      </c>
      <c r="JQ29" s="9">
        <v>108.07062761421577</v>
      </c>
      <c r="JR29" s="9">
        <v>92.627043401905453</v>
      </c>
      <c r="JS29" s="9">
        <v>96.282944669309288</v>
      </c>
      <c r="JT29" s="9">
        <v>89.644250952873662</v>
      </c>
      <c r="JU29" s="9">
        <v>93.411015890752481</v>
      </c>
      <c r="JV29" s="9">
        <v>94.473016161417718</v>
      </c>
      <c r="JW29" s="9">
        <v>93.786287602594271</v>
      </c>
      <c r="JX29" s="9">
        <v>98.858930324629682</v>
      </c>
      <c r="JY29" s="9">
        <v>85.474352840685356</v>
      </c>
      <c r="JZ29" s="9">
        <v>96.332545069952232</v>
      </c>
      <c r="KA29" s="9">
        <v>114.25980129287441</v>
      </c>
      <c r="KB29" s="9">
        <v>102.5967196219131</v>
      </c>
      <c r="KC29" s="9">
        <v>92.479024744048999</v>
      </c>
      <c r="KD29" s="9">
        <v>96.709851011034601</v>
      </c>
      <c r="KE29" s="9">
        <v>90.276619009431911</v>
      </c>
      <c r="KF29" s="9">
        <v>82.561939860745582</v>
      </c>
      <c r="KG29" s="9">
        <v>88.297748695398695</v>
      </c>
      <c r="KH29" s="9">
        <v>74.812955657840646</v>
      </c>
      <c r="KI29" s="9">
        <v>78.914316893319864</v>
      </c>
      <c r="KJ29" s="9">
        <v>86.285779757497096</v>
      </c>
      <c r="KK29" s="9">
        <v>77.436062220193691</v>
      </c>
      <c r="KL29" s="9">
        <v>83.97052861222403</v>
      </c>
      <c r="KM29" s="9">
        <v>97.692452984479019</v>
      </c>
      <c r="KN29" s="9">
        <v>106.72871242268559</v>
      </c>
      <c r="KO29" s="9">
        <v>90.973345897031791</v>
      </c>
      <c r="KP29" s="9">
        <v>90.823098781434567</v>
      </c>
      <c r="KQ29" s="9">
        <v>87.322960380159543</v>
      </c>
      <c r="KR29" s="9">
        <v>81.772600206535941</v>
      </c>
      <c r="KS29" s="9">
        <v>93.218718270858659</v>
      </c>
      <c r="KT29" s="9">
        <v>104.16833788542088</v>
      </c>
      <c r="KU29" s="9">
        <v>109.50515975101209</v>
      </c>
      <c r="KV29" s="9">
        <v>113.23038768337668</v>
      </c>
      <c r="KW29" s="9">
        <v>76.017709449072441</v>
      </c>
      <c r="KX29" s="9">
        <v>74.019554294370039</v>
      </c>
      <c r="KY29" s="9">
        <v>89.805771923169502</v>
      </c>
      <c r="KZ29" s="9">
        <v>80.378658629973486</v>
      </c>
      <c r="LA29" s="9">
        <v>144.39726507364327</v>
      </c>
      <c r="LB29" s="9">
        <v>93.797087665723751</v>
      </c>
      <c r="LC29" s="9">
        <v>84.243973426056698</v>
      </c>
      <c r="LD29" s="9">
        <v>82.161201143668791</v>
      </c>
      <c r="LE29" s="9">
        <v>88.432689502719228</v>
      </c>
      <c r="LF29" s="9">
        <v>84.353863503672187</v>
      </c>
      <c r="LG29" s="9">
        <v>114.08304831112689</v>
      </c>
      <c r="LH29" s="9">
        <v>108.30818942646422</v>
      </c>
      <c r="LI29" s="9">
        <v>110.97309374733329</v>
      </c>
      <c r="LJ29" s="9">
        <v>111.53509284096464</v>
      </c>
      <c r="LK29" s="9">
        <v>118.15473139550178</v>
      </c>
      <c r="LL29" s="9">
        <v>90.894367597876595</v>
      </c>
      <c r="LM29" s="9">
        <v>117.14849779481256</v>
      </c>
      <c r="LN29" s="9">
        <v>108.49161537767228</v>
      </c>
      <c r="LO29" s="9">
        <v>100.19103806000001</v>
      </c>
      <c r="LP29" s="9">
        <v>101.07008307</v>
      </c>
      <c r="LQ29" s="9">
        <v>94.927962030000145</v>
      </c>
      <c r="LR29" s="9">
        <v>102.9722214300001</v>
      </c>
      <c r="LS29" s="9">
        <v>93.541356721371415</v>
      </c>
      <c r="LT29" s="9">
        <v>95.007747499999795</v>
      </c>
      <c r="LU29" s="149"/>
    </row>
    <row r="30" spans="1:333" x14ac:dyDescent="0.3">
      <c r="A30" s="19" t="s">
        <v>20</v>
      </c>
      <c r="B30" s="19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4">
        <v>0</v>
      </c>
      <c r="CJ30" s="14">
        <v>0</v>
      </c>
      <c r="CK30" s="14">
        <v>0</v>
      </c>
      <c r="CL30" s="14">
        <v>0</v>
      </c>
      <c r="CM30" s="14">
        <v>0</v>
      </c>
      <c r="CN30" s="14">
        <v>0</v>
      </c>
      <c r="CO30" s="14">
        <v>0</v>
      </c>
      <c r="CP30" s="14">
        <v>0</v>
      </c>
      <c r="CQ30" s="14">
        <v>0</v>
      </c>
      <c r="CR30" s="14">
        <v>0</v>
      </c>
      <c r="CS30" s="14">
        <v>0</v>
      </c>
      <c r="CT30" s="14">
        <v>0</v>
      </c>
      <c r="CU30" s="14">
        <v>0</v>
      </c>
      <c r="CV30" s="14">
        <v>0</v>
      </c>
      <c r="CW30" s="14">
        <v>0</v>
      </c>
      <c r="CX30" s="14">
        <v>0</v>
      </c>
      <c r="CY30" s="14">
        <v>0</v>
      </c>
      <c r="CZ30" s="14">
        <v>0</v>
      </c>
      <c r="DA30" s="14">
        <v>0</v>
      </c>
      <c r="DB30" s="14">
        <v>0</v>
      </c>
      <c r="DC30" s="14">
        <v>0</v>
      </c>
      <c r="DD30" s="14">
        <v>0</v>
      </c>
      <c r="DE30" s="14">
        <v>0</v>
      </c>
      <c r="DF30" s="14">
        <v>0</v>
      </c>
      <c r="DG30" s="14">
        <v>0</v>
      </c>
      <c r="DH30" s="14">
        <v>0</v>
      </c>
      <c r="DI30" s="14">
        <v>0</v>
      </c>
      <c r="DJ30" s="14">
        <v>0</v>
      </c>
      <c r="DK30" s="14">
        <v>0</v>
      </c>
      <c r="DL30" s="14">
        <v>0</v>
      </c>
      <c r="DM30" s="14">
        <v>0</v>
      </c>
      <c r="DN30" s="14">
        <v>0</v>
      </c>
      <c r="DO30" s="14">
        <v>0</v>
      </c>
      <c r="DP30" s="14">
        <v>0</v>
      </c>
      <c r="DQ30" s="14">
        <v>0</v>
      </c>
      <c r="DR30" s="14">
        <v>0</v>
      </c>
      <c r="DS30" s="14">
        <v>0</v>
      </c>
      <c r="DT30" s="14">
        <v>0</v>
      </c>
      <c r="DU30" s="14">
        <v>0</v>
      </c>
      <c r="DV30" s="14">
        <v>0</v>
      </c>
      <c r="DW30" s="14">
        <v>0</v>
      </c>
      <c r="DX30" s="14">
        <v>0</v>
      </c>
      <c r="DY30" s="14">
        <v>0</v>
      </c>
      <c r="DZ30" s="14">
        <v>0</v>
      </c>
      <c r="EA30" s="14">
        <v>0</v>
      </c>
      <c r="EB30" s="14">
        <v>0</v>
      </c>
      <c r="EC30" s="14">
        <v>0</v>
      </c>
      <c r="ED30" s="14">
        <v>0</v>
      </c>
      <c r="EE30" s="14">
        <v>0</v>
      </c>
      <c r="EF30" s="14">
        <v>0</v>
      </c>
      <c r="EG30" s="14">
        <v>0</v>
      </c>
      <c r="EH30" s="14">
        <v>0</v>
      </c>
      <c r="EI30" s="14">
        <v>0</v>
      </c>
      <c r="EJ30" s="14">
        <v>0</v>
      </c>
      <c r="EK30" s="14">
        <v>0</v>
      </c>
      <c r="EL30" s="14">
        <v>0</v>
      </c>
      <c r="EM30" s="14">
        <v>0</v>
      </c>
      <c r="EN30" s="14">
        <v>0</v>
      </c>
      <c r="EO30" s="14">
        <v>0</v>
      </c>
      <c r="EP30" s="14">
        <v>0</v>
      </c>
      <c r="EQ30" s="14">
        <v>0</v>
      </c>
      <c r="ER30" s="14">
        <v>0</v>
      </c>
      <c r="ES30" s="14">
        <v>0</v>
      </c>
      <c r="ET30" s="14">
        <v>0</v>
      </c>
      <c r="EU30" s="14">
        <v>0</v>
      </c>
      <c r="EV30" s="14">
        <v>0</v>
      </c>
      <c r="EW30" s="14">
        <v>0</v>
      </c>
      <c r="EX30" s="14">
        <v>0</v>
      </c>
      <c r="EY30" s="14">
        <v>0</v>
      </c>
      <c r="EZ30" s="14">
        <v>0</v>
      </c>
      <c r="FA30" s="14">
        <v>0</v>
      </c>
      <c r="FB30" s="14">
        <v>0</v>
      </c>
      <c r="FC30" s="14">
        <v>0</v>
      </c>
      <c r="FD30" s="14">
        <v>0</v>
      </c>
      <c r="FE30" s="14">
        <v>0</v>
      </c>
      <c r="FF30" s="14">
        <v>0</v>
      </c>
      <c r="FG30" s="14">
        <v>0</v>
      </c>
      <c r="FH30" s="14">
        <v>0</v>
      </c>
      <c r="FI30" s="14">
        <v>0</v>
      </c>
      <c r="FJ30" s="14">
        <v>0</v>
      </c>
      <c r="FK30" s="14">
        <v>0</v>
      </c>
      <c r="FL30" s="14">
        <v>0</v>
      </c>
      <c r="FM30" s="14">
        <v>0</v>
      </c>
      <c r="FN30" s="14">
        <v>0</v>
      </c>
      <c r="FO30" s="14">
        <v>0</v>
      </c>
      <c r="FP30" s="14">
        <v>0</v>
      </c>
      <c r="FQ30" s="14">
        <v>0</v>
      </c>
      <c r="FR30" s="14">
        <v>0</v>
      </c>
      <c r="FS30" s="14">
        <v>0</v>
      </c>
      <c r="FT30" s="14">
        <v>0</v>
      </c>
      <c r="FU30" s="14">
        <v>0</v>
      </c>
      <c r="FV30" s="14">
        <v>0</v>
      </c>
      <c r="FW30" s="14">
        <v>0</v>
      </c>
      <c r="FX30" s="14">
        <v>0</v>
      </c>
      <c r="FY30" s="14">
        <v>0</v>
      </c>
      <c r="FZ30" s="14">
        <v>0</v>
      </c>
      <c r="GA30" s="14">
        <v>0</v>
      </c>
      <c r="GB30" s="14">
        <v>0</v>
      </c>
      <c r="GC30" s="14">
        <v>0</v>
      </c>
      <c r="GD30" s="14">
        <v>0</v>
      </c>
      <c r="GE30" s="14">
        <v>0</v>
      </c>
      <c r="GF30" s="14">
        <v>0</v>
      </c>
      <c r="GG30" s="14">
        <v>0</v>
      </c>
      <c r="GH30" s="14">
        <v>0</v>
      </c>
      <c r="GI30" s="14">
        <v>0</v>
      </c>
      <c r="GJ30" s="14">
        <v>0</v>
      </c>
      <c r="GK30" s="14">
        <v>0</v>
      </c>
      <c r="GL30" s="14">
        <v>0</v>
      </c>
      <c r="GM30" s="14">
        <v>0</v>
      </c>
      <c r="GN30" s="14">
        <v>0</v>
      </c>
      <c r="GO30" s="14">
        <v>0</v>
      </c>
      <c r="GP30" s="14">
        <v>0</v>
      </c>
      <c r="GQ30" s="14">
        <v>0</v>
      </c>
      <c r="GR30" s="14">
        <v>0</v>
      </c>
      <c r="GS30" s="14">
        <v>0</v>
      </c>
      <c r="GT30" s="14">
        <v>0</v>
      </c>
      <c r="GU30" s="14">
        <v>0</v>
      </c>
      <c r="GV30" s="14">
        <v>1.236</v>
      </c>
      <c r="GW30" s="14">
        <v>0.97699999999999998</v>
      </c>
      <c r="GX30" s="14">
        <v>1.1910000000000001</v>
      </c>
      <c r="GY30" s="14">
        <v>2.3759999999999999</v>
      </c>
      <c r="GZ30" s="14">
        <v>0.96899999999999997</v>
      </c>
      <c r="HA30" s="14">
        <v>0.79400000000000004</v>
      </c>
      <c r="HB30" s="14">
        <v>1.071</v>
      </c>
      <c r="HC30" s="14">
        <v>1.1080000000000001</v>
      </c>
      <c r="HD30" s="14">
        <v>0.71699999999999997</v>
      </c>
      <c r="HE30" s="14">
        <v>0.81899999999999995</v>
      </c>
      <c r="HF30" s="14">
        <v>0.7</v>
      </c>
      <c r="HG30" s="14">
        <v>0.61699999999999999</v>
      </c>
      <c r="HH30" s="14">
        <v>0.61099999999999999</v>
      </c>
      <c r="HI30" s="14">
        <v>0.52</v>
      </c>
      <c r="HJ30" s="14">
        <v>0.47099999999999997</v>
      </c>
      <c r="HK30" s="14">
        <v>0.72399999999999998</v>
      </c>
      <c r="HL30" s="14">
        <v>0.56999999999999995</v>
      </c>
      <c r="HM30" s="14">
        <v>0.60799999999999998</v>
      </c>
      <c r="HN30" s="14">
        <v>0.63800000000000001</v>
      </c>
      <c r="HO30" s="14">
        <v>0.624</v>
      </c>
      <c r="HP30" s="14">
        <v>0.84199999999999997</v>
      </c>
      <c r="HQ30" s="14">
        <v>0.58299999999999996</v>
      </c>
      <c r="HR30" s="14">
        <v>1.0009999999999999</v>
      </c>
      <c r="HS30" s="14">
        <v>0.89200000000000002</v>
      </c>
      <c r="HT30" s="14">
        <v>0.94299999999999995</v>
      </c>
      <c r="HU30" s="14">
        <v>0.91700000000000004</v>
      </c>
      <c r="HV30" s="14">
        <v>1.1020000000000001</v>
      </c>
      <c r="HW30" s="14">
        <v>0.66900000000000004</v>
      </c>
      <c r="HX30" s="14">
        <v>0.72499999999999998</v>
      </c>
      <c r="HY30" s="14">
        <v>0.73399999999999999</v>
      </c>
      <c r="HZ30" s="14">
        <v>0.65900000000000003</v>
      </c>
      <c r="IA30" s="14">
        <v>0.98</v>
      </c>
      <c r="IB30" s="14">
        <v>0.78400000000000003</v>
      </c>
      <c r="IC30" s="14">
        <v>0.81798129000000019</v>
      </c>
      <c r="ID30" s="14">
        <v>1.0073690500000001</v>
      </c>
      <c r="IE30" s="14">
        <v>1.1713730499999999</v>
      </c>
      <c r="IF30" s="14">
        <v>1.0751328899999995</v>
      </c>
      <c r="IG30" s="14">
        <v>1.04374933</v>
      </c>
      <c r="IH30" s="14">
        <v>1.4938008900000006</v>
      </c>
      <c r="II30" s="14">
        <v>1.5855428199999999</v>
      </c>
      <c r="IJ30" s="14">
        <v>1.4434956200000009</v>
      </c>
      <c r="IK30" s="14">
        <v>1.5249582800000006</v>
      </c>
      <c r="IL30" s="14">
        <v>1.24153717</v>
      </c>
      <c r="IM30" s="14">
        <v>1.5091027299999997</v>
      </c>
      <c r="IN30" s="14">
        <v>2.1708591800000003</v>
      </c>
      <c r="IO30" s="14">
        <v>2.0733436599999995</v>
      </c>
      <c r="IP30" s="14">
        <v>1.8396813600000004</v>
      </c>
      <c r="IQ30" s="14">
        <v>1.2518271999999997</v>
      </c>
      <c r="IR30" s="14">
        <v>0.91058963000000004</v>
      </c>
      <c r="IS30" s="14">
        <v>1.2940549799999999</v>
      </c>
      <c r="IT30" s="14">
        <v>1.3337897400000001</v>
      </c>
      <c r="IU30" s="14">
        <v>1.4782375699999997</v>
      </c>
      <c r="IV30" s="14">
        <v>1.7537260500000016</v>
      </c>
      <c r="IW30" s="14">
        <v>1.3193448299999999</v>
      </c>
      <c r="IX30" s="14">
        <v>1.2139568599999997</v>
      </c>
      <c r="IY30" s="14">
        <v>1.5191031099999999</v>
      </c>
      <c r="IZ30" s="14">
        <v>1.7245235499999998</v>
      </c>
      <c r="JA30" s="14">
        <v>1.3541456200000002</v>
      </c>
      <c r="JB30" s="14">
        <v>1.1880845699999998</v>
      </c>
      <c r="JC30" s="14">
        <v>1.5701143600000003</v>
      </c>
      <c r="JD30" s="14">
        <v>1.7651057799999996</v>
      </c>
      <c r="JE30" s="14">
        <v>1.4565979599999996</v>
      </c>
      <c r="JF30" s="14">
        <v>1.1292805700000002</v>
      </c>
      <c r="JG30" s="14">
        <v>0.90705248999999988</v>
      </c>
      <c r="JH30" s="14">
        <v>0.92842131999999988</v>
      </c>
      <c r="JI30" s="14">
        <v>1.4788697000000004</v>
      </c>
      <c r="JJ30" s="14">
        <v>1.4137912800000001</v>
      </c>
      <c r="JK30" s="14">
        <v>0.95550519000000012</v>
      </c>
      <c r="JL30" s="14">
        <v>1.0634649700000003</v>
      </c>
      <c r="JM30" s="14">
        <v>1.0418470910000002</v>
      </c>
      <c r="JN30" s="14">
        <v>1.0220584190000002</v>
      </c>
      <c r="JO30" s="14">
        <v>1.2486333940000005</v>
      </c>
      <c r="JP30" s="14">
        <v>1.0803820800000001</v>
      </c>
      <c r="JQ30" s="14">
        <v>1.2399324228542479</v>
      </c>
      <c r="JR30" s="14">
        <v>0.96933928100000022</v>
      </c>
      <c r="JS30" s="14">
        <v>0.91565934300000029</v>
      </c>
      <c r="JT30" s="14">
        <v>0.88733389600000012</v>
      </c>
      <c r="JU30" s="14">
        <v>1.3100140916989818</v>
      </c>
      <c r="JV30" s="14">
        <v>0.88530885300000062</v>
      </c>
      <c r="JW30" s="14">
        <v>0.91660712400000022</v>
      </c>
      <c r="JX30" s="14">
        <v>0.84022552700000031</v>
      </c>
      <c r="JY30" s="14">
        <v>0.99056140935408488</v>
      </c>
      <c r="JZ30" s="14">
        <v>1.3969765519999995</v>
      </c>
      <c r="KA30" s="14">
        <v>1.469588461000001</v>
      </c>
      <c r="KB30" s="14">
        <v>1.0283166970000002</v>
      </c>
      <c r="KC30" s="14">
        <v>1.0440956920000002</v>
      </c>
      <c r="KD30" s="14">
        <v>1.0547987344998417</v>
      </c>
      <c r="KE30" s="14">
        <v>1.0665100367344496</v>
      </c>
      <c r="KF30" s="14">
        <v>1.0180763480000001</v>
      </c>
      <c r="KG30" s="14">
        <v>0.98247826299999996</v>
      </c>
      <c r="KH30" s="14">
        <v>0.95500159399999995</v>
      </c>
      <c r="KI30" s="14">
        <v>0.72701070099999998</v>
      </c>
      <c r="KJ30" s="14">
        <v>0.97647394778972663</v>
      </c>
      <c r="KK30" s="14">
        <v>0.66963229599999952</v>
      </c>
      <c r="KL30" s="14">
        <v>0.73608864399999996</v>
      </c>
      <c r="KM30" s="14">
        <v>0.86945801899999997</v>
      </c>
      <c r="KN30" s="14">
        <v>0.70460180900000013</v>
      </c>
      <c r="KO30" s="14">
        <v>0.98461349399999987</v>
      </c>
      <c r="KP30" s="14">
        <v>0.83136343800000023</v>
      </c>
      <c r="KQ30" s="14">
        <v>0.45564234651904162</v>
      </c>
      <c r="KR30" s="14">
        <v>0.41084404800000007</v>
      </c>
      <c r="KS30" s="14">
        <v>0.45557768377764063</v>
      </c>
      <c r="KT30" s="14">
        <v>0.65398915538492053</v>
      </c>
      <c r="KU30" s="14">
        <v>0.83022908693752617</v>
      </c>
      <c r="KV30" s="14">
        <v>0.52702642651561382</v>
      </c>
      <c r="KW30" s="14">
        <v>0.68085150333068356</v>
      </c>
      <c r="KX30" s="14">
        <v>0.98878795136881248</v>
      </c>
      <c r="KY30" s="14">
        <v>0.853079119</v>
      </c>
      <c r="KZ30" s="14">
        <v>0.76295262799999974</v>
      </c>
      <c r="LA30" s="14">
        <v>0.84772688604402202</v>
      </c>
      <c r="LB30" s="14">
        <v>1.0733091250000002</v>
      </c>
      <c r="LC30" s="14">
        <v>0.90430960544707217</v>
      </c>
      <c r="LD30" s="14">
        <v>0.72826174900043839</v>
      </c>
      <c r="LE30" s="14">
        <v>0.68114727457249069</v>
      </c>
      <c r="LF30" s="14">
        <v>0.67399617340748341</v>
      </c>
      <c r="LG30" s="14">
        <v>0.93729045236180186</v>
      </c>
      <c r="LH30" s="14">
        <v>0.63741585837503367</v>
      </c>
      <c r="LI30" s="14">
        <v>0.77450969292616145</v>
      </c>
      <c r="LJ30" s="14">
        <v>0.55904560548873838</v>
      </c>
      <c r="LK30" s="14">
        <v>1.0152249136949532</v>
      </c>
      <c r="LL30" s="14">
        <v>0.60089733924108613</v>
      </c>
      <c r="LM30" s="14">
        <v>0.97054124142831799</v>
      </c>
      <c r="LN30" s="14">
        <v>0.77748494545160662</v>
      </c>
      <c r="LO30" s="14">
        <v>1.0935514699999993</v>
      </c>
      <c r="LP30" s="14">
        <v>0.81436059000000005</v>
      </c>
      <c r="LQ30" s="14">
        <v>0.73208141000000038</v>
      </c>
      <c r="LR30" s="14">
        <v>0.81992118000000003</v>
      </c>
      <c r="LS30" s="14">
        <v>0.66606852000000016</v>
      </c>
      <c r="LT30" s="14">
        <v>0.58385633000000015</v>
      </c>
      <c r="LU30" s="149"/>
    </row>
    <row r="31" spans="1:333" x14ac:dyDescent="0.3">
      <c r="A31" s="20" t="s">
        <v>21</v>
      </c>
      <c r="B31" s="20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4">
        <v>0.47</v>
      </c>
      <c r="CJ31" s="14">
        <v>0</v>
      </c>
      <c r="CK31" s="14">
        <v>0</v>
      </c>
      <c r="CL31" s="14">
        <v>0</v>
      </c>
      <c r="CM31" s="14">
        <v>0</v>
      </c>
      <c r="CN31" s="14">
        <v>0</v>
      </c>
      <c r="CO31" s="14">
        <v>0</v>
      </c>
      <c r="CP31" s="14">
        <v>0</v>
      </c>
      <c r="CQ31" s="14">
        <v>0</v>
      </c>
      <c r="CR31" s="14">
        <v>0</v>
      </c>
      <c r="CS31" s="14">
        <v>0</v>
      </c>
      <c r="CT31" s="14">
        <v>0</v>
      </c>
      <c r="CU31" s="14">
        <v>0</v>
      </c>
      <c r="CV31" s="14">
        <v>0</v>
      </c>
      <c r="CW31" s="14">
        <v>0</v>
      </c>
      <c r="CX31" s="14">
        <v>0</v>
      </c>
      <c r="CY31" s="14">
        <v>0</v>
      </c>
      <c r="CZ31" s="14">
        <v>0</v>
      </c>
      <c r="DA31" s="14">
        <v>0</v>
      </c>
      <c r="DB31" s="14">
        <v>0</v>
      </c>
      <c r="DC31" s="14">
        <v>0</v>
      </c>
      <c r="DD31" s="14">
        <v>0</v>
      </c>
      <c r="DE31" s="14">
        <v>0</v>
      </c>
      <c r="DF31" s="14">
        <v>0</v>
      </c>
      <c r="DG31" s="14">
        <v>0</v>
      </c>
      <c r="DH31" s="14">
        <v>0</v>
      </c>
      <c r="DI31" s="14">
        <v>0</v>
      </c>
      <c r="DJ31" s="14">
        <v>0</v>
      </c>
      <c r="DK31" s="14">
        <v>0</v>
      </c>
      <c r="DL31" s="14">
        <v>0</v>
      </c>
      <c r="DM31" s="14">
        <v>0</v>
      </c>
      <c r="DN31" s="14">
        <v>0</v>
      </c>
      <c r="DO31" s="14">
        <v>0</v>
      </c>
      <c r="DP31" s="14">
        <v>0</v>
      </c>
      <c r="DQ31" s="14">
        <v>0</v>
      </c>
      <c r="DR31" s="14">
        <v>0</v>
      </c>
      <c r="DS31" s="14">
        <v>0</v>
      </c>
      <c r="DT31" s="14">
        <v>0</v>
      </c>
      <c r="DU31" s="14">
        <v>0</v>
      </c>
      <c r="DV31" s="14">
        <v>0</v>
      </c>
      <c r="DW31" s="14">
        <v>0</v>
      </c>
      <c r="DX31" s="14">
        <v>0</v>
      </c>
      <c r="DY31" s="14">
        <v>0</v>
      </c>
      <c r="DZ31" s="14">
        <v>0.27100000000000002</v>
      </c>
      <c r="EA31" s="14">
        <v>0.36399999999999999</v>
      </c>
      <c r="EB31" s="14">
        <v>0.49399999999999999</v>
      </c>
      <c r="EC31" s="14">
        <v>0.22900000000000001</v>
      </c>
      <c r="ED31" s="14">
        <v>0.47</v>
      </c>
      <c r="EE31" s="14">
        <v>0.49399999999999999</v>
      </c>
      <c r="EF31" s="14">
        <v>0.432</v>
      </c>
      <c r="EG31" s="14">
        <v>0.60199999999999998</v>
      </c>
      <c r="EH31" s="14">
        <v>0.41699999999999998</v>
      </c>
      <c r="EI31" s="14">
        <v>0.67</v>
      </c>
      <c r="EJ31" s="14">
        <v>0.495</v>
      </c>
      <c r="EK31" s="14">
        <v>0.63200000000000001</v>
      </c>
      <c r="EL31" s="14">
        <v>0.53600000000000003</v>
      </c>
      <c r="EM31" s="14">
        <v>0.92700000000000005</v>
      </c>
      <c r="EN31" s="14">
        <v>0.69399999999999995</v>
      </c>
      <c r="EO31" s="14">
        <v>0.56000000000000005</v>
      </c>
      <c r="EP31" s="14">
        <v>0.93</v>
      </c>
      <c r="EQ31" s="14">
        <v>1.746</v>
      </c>
      <c r="ER31" s="14">
        <v>0.85399999999999998</v>
      </c>
      <c r="ES31" s="14">
        <v>1.8240000000000001</v>
      </c>
      <c r="ET31" s="14">
        <v>1.1339999999999999</v>
      </c>
      <c r="EU31" s="14">
        <v>1.05</v>
      </c>
      <c r="EV31" s="14">
        <v>0.97099999999999997</v>
      </c>
      <c r="EW31" s="14">
        <v>1.155</v>
      </c>
      <c r="EX31" s="14">
        <v>0.91500000000000004</v>
      </c>
      <c r="EY31" s="14">
        <v>1.9730000000000001</v>
      </c>
      <c r="EZ31" s="14">
        <v>1.659</v>
      </c>
      <c r="FA31" s="14">
        <v>1.69</v>
      </c>
      <c r="FB31" s="14">
        <v>1.548</v>
      </c>
      <c r="FC31" s="14">
        <v>1.6459999999999999</v>
      </c>
      <c r="FD31" s="14">
        <v>2.504</v>
      </c>
      <c r="FE31" s="14">
        <v>1.8460000000000001</v>
      </c>
      <c r="FF31" s="14">
        <v>1.68</v>
      </c>
      <c r="FG31" s="14">
        <v>2.4140000000000001</v>
      </c>
      <c r="FH31" s="14">
        <v>2.8340000000000001</v>
      </c>
      <c r="FI31" s="14">
        <v>2.0910000000000002</v>
      </c>
      <c r="FJ31" s="14">
        <v>1.91</v>
      </c>
      <c r="FK31" s="14">
        <v>2.5619999999999998</v>
      </c>
      <c r="FL31" s="14">
        <v>2.0950000000000002</v>
      </c>
      <c r="FM31" s="14">
        <v>2.2850000000000001</v>
      </c>
      <c r="FN31" s="14">
        <v>2.3038750000000001</v>
      </c>
      <c r="FO31" s="14">
        <v>2.7839999999999998</v>
      </c>
      <c r="FP31" s="14">
        <v>3.589</v>
      </c>
      <c r="FQ31" s="14">
        <v>3.67</v>
      </c>
      <c r="FR31" s="14">
        <v>4.282</v>
      </c>
      <c r="FS31" s="14">
        <v>2.9860000000000002</v>
      </c>
      <c r="FT31" s="14">
        <v>3.2930000000000001</v>
      </c>
      <c r="FU31" s="14">
        <v>2.3860000000000001</v>
      </c>
      <c r="FV31" s="14">
        <v>1.31</v>
      </c>
      <c r="FW31" s="14">
        <v>0.04</v>
      </c>
      <c r="FX31" s="14">
        <v>7.2999999999999995E-2</v>
      </c>
      <c r="FY31" s="14">
        <v>0.111</v>
      </c>
      <c r="FZ31" s="14">
        <v>3.5419999999999998</v>
      </c>
      <c r="GA31" s="14">
        <v>3.544</v>
      </c>
      <c r="GB31" s="14">
        <v>4.8419999999999996</v>
      </c>
      <c r="GC31" s="14">
        <v>4.6159999999999997</v>
      </c>
      <c r="GD31" s="14">
        <v>4.202</v>
      </c>
      <c r="GE31" s="14">
        <v>5.1150000000000002</v>
      </c>
      <c r="GF31" s="14">
        <v>4.6360000000000001</v>
      </c>
      <c r="GG31" s="14">
        <v>5.2560000000000002</v>
      </c>
      <c r="GH31" s="14">
        <v>4.2670000000000003</v>
      </c>
      <c r="GI31" s="14">
        <v>5.9740000000000002</v>
      </c>
      <c r="GJ31" s="14">
        <v>5.9260000000000002</v>
      </c>
      <c r="GK31" s="14">
        <v>5.7030000000000003</v>
      </c>
      <c r="GL31" s="14">
        <v>6.2270000000000003</v>
      </c>
      <c r="GM31" s="14">
        <v>5.3760000000000003</v>
      </c>
      <c r="GN31" s="14">
        <v>6.1710000000000003</v>
      </c>
      <c r="GO31" s="14">
        <v>8.3330000000000002</v>
      </c>
      <c r="GP31" s="14">
        <v>6.8780000000000001</v>
      </c>
      <c r="GQ31" s="14">
        <v>6.8479999999999999</v>
      </c>
      <c r="GR31" s="14">
        <v>7.3689999999999998</v>
      </c>
      <c r="GS31" s="14">
        <v>8.7100000000000009</v>
      </c>
      <c r="GT31" s="14">
        <v>7.399</v>
      </c>
      <c r="GU31" s="14">
        <v>7.5780000000000003</v>
      </c>
      <c r="GV31" s="14">
        <v>9.1579999999999995</v>
      </c>
      <c r="GW31" s="14">
        <v>10.579000000000001</v>
      </c>
      <c r="GX31" s="14">
        <v>10.037000000000001</v>
      </c>
      <c r="GY31" s="14">
        <v>11.846</v>
      </c>
      <c r="GZ31" s="14">
        <v>11.696</v>
      </c>
      <c r="HA31" s="14">
        <v>12.346</v>
      </c>
      <c r="HB31" s="14">
        <v>11.122</v>
      </c>
      <c r="HC31" s="14">
        <v>8.2650000000000006</v>
      </c>
      <c r="HD31" s="14">
        <v>9.1720000000000006</v>
      </c>
      <c r="HE31" s="14">
        <v>6.6660000000000004</v>
      </c>
      <c r="HF31" s="14">
        <v>7.6820000000000004</v>
      </c>
      <c r="HG31" s="14">
        <v>8.7089999999999996</v>
      </c>
      <c r="HH31" s="14">
        <v>9.6440000000000001</v>
      </c>
      <c r="HI31" s="14">
        <v>7.55</v>
      </c>
      <c r="HJ31" s="14">
        <v>7.1920000000000002</v>
      </c>
      <c r="HK31" s="14">
        <v>9.7379999999999995</v>
      </c>
      <c r="HL31" s="14">
        <v>7.3470000000000004</v>
      </c>
      <c r="HM31" s="14">
        <v>6.6059999999999999</v>
      </c>
      <c r="HN31" s="14">
        <v>9.3109999999999999</v>
      </c>
      <c r="HO31" s="14">
        <v>7.6639999999999997</v>
      </c>
      <c r="HP31" s="14">
        <v>8.27</v>
      </c>
      <c r="HQ31" s="14">
        <v>6.57</v>
      </c>
      <c r="HR31" s="14">
        <v>6.6520000000000001</v>
      </c>
      <c r="HS31" s="14">
        <v>6.4690000000000003</v>
      </c>
      <c r="HT31" s="14">
        <v>7.5220000000000002</v>
      </c>
      <c r="HU31" s="14">
        <v>6.7930000000000001</v>
      </c>
      <c r="HV31" s="14">
        <v>8.66</v>
      </c>
      <c r="HW31" s="14">
        <v>5.968</v>
      </c>
      <c r="HX31" s="14">
        <v>10.055</v>
      </c>
      <c r="HY31" s="14">
        <v>8.157</v>
      </c>
      <c r="HZ31" s="14">
        <v>8.4030000000000005</v>
      </c>
      <c r="IA31" s="14">
        <v>8.2029999999999994</v>
      </c>
      <c r="IB31" s="14">
        <v>7.3730000000000002</v>
      </c>
      <c r="IC31" s="14">
        <v>7.2253540799999971</v>
      </c>
      <c r="ID31" s="14">
        <v>8.2288936200000027</v>
      </c>
      <c r="IE31" s="14">
        <v>10.830110939999997</v>
      </c>
      <c r="IF31" s="14">
        <v>9.8799699600000075</v>
      </c>
      <c r="IG31" s="14">
        <v>10.669458200000006</v>
      </c>
      <c r="IH31" s="14">
        <v>15.022929260000003</v>
      </c>
      <c r="II31" s="14">
        <v>9.7242007599999969</v>
      </c>
      <c r="IJ31" s="14">
        <v>9.5801741700000012</v>
      </c>
      <c r="IK31" s="14">
        <v>10.282464069999985</v>
      </c>
      <c r="IL31" s="14">
        <v>10.195764990000002</v>
      </c>
      <c r="IM31" s="14">
        <v>10.476479349999989</v>
      </c>
      <c r="IN31" s="14">
        <v>9.8606918499999985</v>
      </c>
      <c r="IO31" s="14">
        <v>9.2493803400000143</v>
      </c>
      <c r="IP31" s="14">
        <v>12.698343330000011</v>
      </c>
      <c r="IQ31" s="14">
        <v>10.179884319999999</v>
      </c>
      <c r="IR31" s="14">
        <v>9.3035540899999969</v>
      </c>
      <c r="IS31" s="14">
        <v>11.508438330000015</v>
      </c>
      <c r="IT31" s="14">
        <v>10.69731841999999</v>
      </c>
      <c r="IU31" s="14">
        <v>12.779182889999998</v>
      </c>
      <c r="IV31" s="14">
        <v>12.748764450000001</v>
      </c>
      <c r="IW31" s="14">
        <v>12.630982900000001</v>
      </c>
      <c r="IX31" s="14">
        <v>10.215567260000006</v>
      </c>
      <c r="IY31" s="14">
        <v>11.066248069999984</v>
      </c>
      <c r="IZ31" s="14">
        <v>10.577658370000002</v>
      </c>
      <c r="JA31" s="14">
        <v>9.1944493999999946</v>
      </c>
      <c r="JB31" s="14">
        <v>11.055110759999994</v>
      </c>
      <c r="JC31" s="14">
        <v>11.173773790000022</v>
      </c>
      <c r="JD31" s="14">
        <v>11.962587239999994</v>
      </c>
      <c r="JE31" s="14">
        <v>11.874767390000002</v>
      </c>
      <c r="JF31" s="14">
        <v>11.669298310000016</v>
      </c>
      <c r="JG31" s="14">
        <v>13.966193640000006</v>
      </c>
      <c r="JH31" s="14">
        <v>12.104382899999999</v>
      </c>
      <c r="JI31" s="14">
        <v>11.717857150000009</v>
      </c>
      <c r="JJ31" s="14">
        <v>12.148207169999983</v>
      </c>
      <c r="JK31" s="14">
        <v>11.267859029999988</v>
      </c>
      <c r="JL31" s="14">
        <v>9.4893131000000057</v>
      </c>
      <c r="JM31" s="14">
        <v>8.1450196730000037</v>
      </c>
      <c r="JN31" s="14">
        <v>10.953416830000002</v>
      </c>
      <c r="JO31" s="14">
        <v>10.870370775</v>
      </c>
      <c r="JP31" s="14">
        <v>10.427463416944549</v>
      </c>
      <c r="JQ31" s="14">
        <v>11.318407980670342</v>
      </c>
      <c r="JR31" s="14">
        <v>12.88914540485332</v>
      </c>
      <c r="JS31" s="14">
        <v>12.01800431129521</v>
      </c>
      <c r="JT31" s="14">
        <v>11.041821140592294</v>
      </c>
      <c r="JU31" s="14">
        <v>12.419883786397627</v>
      </c>
      <c r="JV31" s="14">
        <v>11.579894351999998</v>
      </c>
      <c r="JW31" s="14">
        <v>10.58649463966977</v>
      </c>
      <c r="JX31" s="14">
        <v>9.7811146743381521</v>
      </c>
      <c r="JY31" s="14">
        <v>9.5774361492977214</v>
      </c>
      <c r="JZ31" s="14">
        <v>12.594897002782789</v>
      </c>
      <c r="KA31" s="14">
        <v>11.552831936758801</v>
      </c>
      <c r="KB31" s="14">
        <v>10.808953503960636</v>
      </c>
      <c r="KC31" s="14">
        <v>8.1025044125840928</v>
      </c>
      <c r="KD31" s="14">
        <v>7.9396862470164997</v>
      </c>
      <c r="KE31" s="14">
        <v>8.8464749784998062</v>
      </c>
      <c r="KF31" s="14">
        <v>9.6268546634044903</v>
      </c>
      <c r="KG31" s="14">
        <v>12.160806319420214</v>
      </c>
      <c r="KH31" s="14">
        <v>10.220744460026657</v>
      </c>
      <c r="KI31" s="14">
        <v>10.272118661265678</v>
      </c>
      <c r="KJ31" s="14">
        <v>8.2919990981985432</v>
      </c>
      <c r="KK31" s="14">
        <v>5.096954130908518</v>
      </c>
      <c r="KL31" s="14">
        <v>5.2054642713828825</v>
      </c>
      <c r="KM31" s="14">
        <v>6.1352882471082033</v>
      </c>
      <c r="KN31" s="14">
        <v>7.589377448823349</v>
      </c>
      <c r="KO31" s="14">
        <v>7.672038779452711</v>
      </c>
      <c r="KP31" s="14">
        <v>8.4418216170000022</v>
      </c>
      <c r="KQ31" s="14">
        <v>8.9991620823423997</v>
      </c>
      <c r="KR31" s="14">
        <v>9.7118066611738438</v>
      </c>
      <c r="KS31" s="14">
        <v>10.873888517999996</v>
      </c>
      <c r="KT31" s="14">
        <v>13.283190658466861</v>
      </c>
      <c r="KU31" s="14">
        <v>9.2551949172325632</v>
      </c>
      <c r="KV31" s="14">
        <v>7.5613990713950043</v>
      </c>
      <c r="KW31" s="14">
        <v>4.969801972</v>
      </c>
      <c r="KX31" s="14">
        <v>6.2943442322182861</v>
      </c>
      <c r="KY31" s="14">
        <v>9.5532070419732449</v>
      </c>
      <c r="KZ31" s="14">
        <v>7.4692297830000056</v>
      </c>
      <c r="LA31" s="14">
        <v>9.1450800582633534</v>
      </c>
      <c r="LB31" s="14">
        <v>8.972989666697865</v>
      </c>
      <c r="LC31" s="14">
        <v>8.2750796201984844</v>
      </c>
      <c r="LD31" s="14">
        <v>10.216168235579975</v>
      </c>
      <c r="LE31" s="14">
        <v>9.83442335953713</v>
      </c>
      <c r="LF31" s="14">
        <v>7.8833761153474997</v>
      </c>
      <c r="LG31" s="14">
        <v>8.8222125928114519</v>
      </c>
      <c r="LH31" s="14">
        <v>7.3379711073283467</v>
      </c>
      <c r="LI31" s="14">
        <v>6.506231414415379</v>
      </c>
      <c r="LJ31" s="14">
        <v>10.109557628478562</v>
      </c>
      <c r="LK31" s="14">
        <v>11.448589259147244</v>
      </c>
      <c r="LL31" s="14">
        <v>9.0240520460224598</v>
      </c>
      <c r="LM31" s="14">
        <v>12.068451383467421</v>
      </c>
      <c r="LN31" s="14">
        <v>9.5581150795496121</v>
      </c>
      <c r="LO31" s="14">
        <v>10.720982300000006</v>
      </c>
      <c r="LP31" s="14">
        <v>14.81557662</v>
      </c>
      <c r="LQ31" s="14">
        <v>12.577072550000011</v>
      </c>
      <c r="LR31" s="14">
        <v>11.153388219999991</v>
      </c>
      <c r="LS31" s="14">
        <v>11.44435294999999</v>
      </c>
      <c r="LT31" s="14">
        <v>8.8187350699999971</v>
      </c>
      <c r="LU31" s="149"/>
    </row>
    <row r="32" spans="1:333" x14ac:dyDescent="0.3">
      <c r="A32" s="21" t="s">
        <v>22</v>
      </c>
      <c r="B32" s="21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4">
        <v>0</v>
      </c>
      <c r="CJ32" s="14">
        <v>0</v>
      </c>
      <c r="CK32" s="14">
        <v>0</v>
      </c>
      <c r="CL32" s="14">
        <v>0</v>
      </c>
      <c r="CM32" s="14">
        <v>0</v>
      </c>
      <c r="CN32" s="14">
        <v>0</v>
      </c>
      <c r="CO32" s="14">
        <v>0</v>
      </c>
      <c r="CP32" s="14">
        <v>0</v>
      </c>
      <c r="CQ32" s="14">
        <v>0</v>
      </c>
      <c r="CR32" s="14">
        <v>0</v>
      </c>
      <c r="CS32" s="14">
        <v>0</v>
      </c>
      <c r="CT32" s="14">
        <v>0</v>
      </c>
      <c r="CU32" s="14">
        <v>0</v>
      </c>
      <c r="CV32" s="14">
        <v>0</v>
      </c>
      <c r="CW32" s="14">
        <v>0</v>
      </c>
      <c r="CX32" s="14">
        <v>0</v>
      </c>
      <c r="CY32" s="14">
        <v>0</v>
      </c>
      <c r="CZ32" s="14">
        <v>0</v>
      </c>
      <c r="DA32" s="14">
        <v>0</v>
      </c>
      <c r="DB32" s="14">
        <v>0</v>
      </c>
      <c r="DC32" s="14">
        <v>0</v>
      </c>
      <c r="DD32" s="14">
        <v>0</v>
      </c>
      <c r="DE32" s="14">
        <v>0</v>
      </c>
      <c r="DF32" s="14">
        <v>0</v>
      </c>
      <c r="DG32" s="14">
        <v>0</v>
      </c>
      <c r="DH32" s="14">
        <v>0</v>
      </c>
      <c r="DI32" s="14">
        <v>0</v>
      </c>
      <c r="DJ32" s="14">
        <v>0</v>
      </c>
      <c r="DK32" s="14">
        <v>0</v>
      </c>
      <c r="DL32" s="14">
        <v>0</v>
      </c>
      <c r="DM32" s="14">
        <v>0</v>
      </c>
      <c r="DN32" s="14">
        <v>0</v>
      </c>
      <c r="DO32" s="14">
        <v>0</v>
      </c>
      <c r="DP32" s="14">
        <v>0</v>
      </c>
      <c r="DQ32" s="14">
        <v>0</v>
      </c>
      <c r="DR32" s="14">
        <v>0</v>
      </c>
      <c r="DS32" s="14">
        <v>0</v>
      </c>
      <c r="DT32" s="14">
        <v>0</v>
      </c>
      <c r="DU32" s="14">
        <v>0</v>
      </c>
      <c r="DV32" s="14">
        <v>0</v>
      </c>
      <c r="DW32" s="14">
        <v>0</v>
      </c>
      <c r="DX32" s="14">
        <v>0</v>
      </c>
      <c r="DY32" s="14">
        <v>0</v>
      </c>
      <c r="DZ32" s="14">
        <v>0</v>
      </c>
      <c r="EA32" s="14">
        <v>0</v>
      </c>
      <c r="EB32" s="14">
        <v>0</v>
      </c>
      <c r="EC32" s="14">
        <v>0</v>
      </c>
      <c r="ED32" s="14">
        <v>0</v>
      </c>
      <c r="EE32" s="14">
        <v>0</v>
      </c>
      <c r="EF32" s="14">
        <v>0</v>
      </c>
      <c r="EG32" s="14">
        <v>0</v>
      </c>
      <c r="EH32" s="14">
        <v>0</v>
      </c>
      <c r="EI32" s="14">
        <v>0</v>
      </c>
      <c r="EJ32" s="14">
        <v>0</v>
      </c>
      <c r="EK32" s="14">
        <v>0</v>
      </c>
      <c r="EL32" s="14">
        <v>0</v>
      </c>
      <c r="EM32" s="14">
        <v>0</v>
      </c>
      <c r="EN32" s="14">
        <v>0</v>
      </c>
      <c r="EO32" s="14">
        <v>0</v>
      </c>
      <c r="EP32" s="14">
        <v>0</v>
      </c>
      <c r="EQ32" s="14">
        <v>0</v>
      </c>
      <c r="ER32" s="14">
        <v>0</v>
      </c>
      <c r="ES32" s="14">
        <v>0</v>
      </c>
      <c r="ET32" s="14">
        <v>0</v>
      </c>
      <c r="EU32" s="14">
        <v>0</v>
      </c>
      <c r="EV32" s="14">
        <v>0</v>
      </c>
      <c r="EW32" s="14">
        <v>0</v>
      </c>
      <c r="EX32" s="14">
        <v>0</v>
      </c>
      <c r="EY32" s="14">
        <v>0</v>
      </c>
      <c r="EZ32" s="14">
        <v>0</v>
      </c>
      <c r="FA32" s="14">
        <v>0</v>
      </c>
      <c r="FB32" s="14">
        <v>0</v>
      </c>
      <c r="FC32" s="14">
        <v>0</v>
      </c>
      <c r="FD32" s="14">
        <v>0</v>
      </c>
      <c r="FE32" s="14">
        <v>0</v>
      </c>
      <c r="FF32" s="14">
        <v>0</v>
      </c>
      <c r="FG32" s="14">
        <v>0</v>
      </c>
      <c r="FH32" s="14">
        <v>0</v>
      </c>
      <c r="FI32" s="14">
        <v>0</v>
      </c>
      <c r="FJ32" s="14">
        <v>0</v>
      </c>
      <c r="FK32" s="14">
        <v>0</v>
      </c>
      <c r="FL32" s="14">
        <v>0</v>
      </c>
      <c r="FM32" s="14">
        <v>0</v>
      </c>
      <c r="FN32" s="14">
        <v>0</v>
      </c>
      <c r="FO32" s="14">
        <v>0</v>
      </c>
      <c r="FP32" s="14">
        <v>0</v>
      </c>
      <c r="FQ32" s="14">
        <v>0</v>
      </c>
      <c r="FR32" s="14">
        <v>0</v>
      </c>
      <c r="FS32" s="14">
        <v>0</v>
      </c>
      <c r="FT32" s="14">
        <v>0</v>
      </c>
      <c r="FU32" s="14">
        <v>0</v>
      </c>
      <c r="FV32" s="14">
        <v>0</v>
      </c>
      <c r="FW32" s="14">
        <v>0</v>
      </c>
      <c r="FX32" s="14">
        <v>0</v>
      </c>
      <c r="FY32" s="14">
        <v>0</v>
      </c>
      <c r="FZ32" s="14">
        <v>0</v>
      </c>
      <c r="GA32" s="14">
        <v>0</v>
      </c>
      <c r="GB32" s="14">
        <v>0</v>
      </c>
      <c r="GC32" s="14">
        <v>0</v>
      </c>
      <c r="GD32" s="14">
        <v>0</v>
      </c>
      <c r="GE32" s="14">
        <v>0</v>
      </c>
      <c r="GF32" s="14">
        <v>0</v>
      </c>
      <c r="GG32" s="14">
        <v>0</v>
      </c>
      <c r="GH32" s="14">
        <v>0</v>
      </c>
      <c r="GI32" s="14">
        <v>0</v>
      </c>
      <c r="GJ32" s="14">
        <v>0</v>
      </c>
      <c r="GK32" s="14">
        <v>0</v>
      </c>
      <c r="GL32" s="14">
        <v>0</v>
      </c>
      <c r="GM32" s="14">
        <v>0</v>
      </c>
      <c r="GN32" s="14">
        <v>0</v>
      </c>
      <c r="GO32" s="14">
        <v>0</v>
      </c>
      <c r="GP32" s="14">
        <v>2.3420000000000001</v>
      </c>
      <c r="GQ32" s="14">
        <v>3.1240000000000001</v>
      </c>
      <c r="GR32" s="14">
        <v>2.9060000000000001</v>
      </c>
      <c r="GS32" s="14">
        <v>2.706</v>
      </c>
      <c r="GT32" s="14">
        <v>2.3450000000000002</v>
      </c>
      <c r="GU32" s="14">
        <v>3.1789999999999998</v>
      </c>
      <c r="GV32" s="14">
        <v>2.2650000000000001</v>
      </c>
      <c r="GW32" s="14">
        <v>3.0859999999999999</v>
      </c>
      <c r="GX32" s="14">
        <v>5.0330000000000004</v>
      </c>
      <c r="GY32" s="14">
        <v>4.9320000000000004</v>
      </c>
      <c r="GZ32" s="14">
        <v>3.984</v>
      </c>
      <c r="HA32" s="14">
        <v>3.3690000000000002</v>
      </c>
      <c r="HB32" s="14">
        <v>3.714</v>
      </c>
      <c r="HC32" s="14">
        <v>2.5139999999999998</v>
      </c>
      <c r="HD32" s="14">
        <v>2.8210000000000002</v>
      </c>
      <c r="HE32" s="14">
        <v>2.3330000000000002</v>
      </c>
      <c r="HF32" s="14">
        <v>3.415</v>
      </c>
      <c r="HG32" s="14">
        <v>1.796</v>
      </c>
      <c r="HH32" s="14">
        <v>3.21</v>
      </c>
      <c r="HI32" s="14">
        <v>2.4369999999999998</v>
      </c>
      <c r="HJ32" s="14">
        <v>1.86</v>
      </c>
      <c r="HK32" s="14">
        <v>1.8420000000000001</v>
      </c>
      <c r="HL32" s="14">
        <v>2.1880000000000002</v>
      </c>
      <c r="HM32" s="14">
        <v>2.3239999999999998</v>
      </c>
      <c r="HN32" s="14">
        <v>2.8159999999999998</v>
      </c>
      <c r="HO32" s="14">
        <v>2.6880000000000002</v>
      </c>
      <c r="HP32" s="14">
        <v>3.1819999999999999</v>
      </c>
      <c r="HQ32" s="14">
        <v>2.0259999999999998</v>
      </c>
      <c r="HR32" s="14">
        <v>1.7330000000000001</v>
      </c>
      <c r="HS32" s="14">
        <v>2.1320000000000001</v>
      </c>
      <c r="HT32" s="14">
        <v>1.823</v>
      </c>
      <c r="HU32" s="14">
        <v>1.87</v>
      </c>
      <c r="HV32" s="14">
        <v>1.954</v>
      </c>
      <c r="HW32" s="14">
        <v>1.663</v>
      </c>
      <c r="HX32" s="14">
        <v>1.504</v>
      </c>
      <c r="HY32" s="14">
        <v>0.96099999999999997</v>
      </c>
      <c r="HZ32" s="14">
        <v>1.5389999999999999</v>
      </c>
      <c r="IA32" s="14">
        <v>1.4470000000000001</v>
      </c>
      <c r="IB32" s="14">
        <v>2.3029999999999999</v>
      </c>
      <c r="IC32" s="14">
        <v>1.428065260000001</v>
      </c>
      <c r="ID32" s="14">
        <v>1.6747009399999995</v>
      </c>
      <c r="IE32" s="14">
        <v>2.2137665000000006</v>
      </c>
      <c r="IF32" s="14">
        <v>2.3569070799999978</v>
      </c>
      <c r="IG32" s="14">
        <v>2.2160877800000001</v>
      </c>
      <c r="IH32" s="14">
        <v>2.1884396899999969</v>
      </c>
      <c r="II32" s="14">
        <v>1.8968095400000005</v>
      </c>
      <c r="IJ32" s="14">
        <v>1.6888321100000003</v>
      </c>
      <c r="IK32" s="14">
        <v>1.5726401799999987</v>
      </c>
      <c r="IL32" s="14">
        <v>1.6254120499999989</v>
      </c>
      <c r="IM32" s="14">
        <v>1.9882661999999993</v>
      </c>
      <c r="IN32" s="14">
        <v>2.1746094799999991</v>
      </c>
      <c r="IO32" s="14">
        <v>1.5730757399999991</v>
      </c>
      <c r="IP32" s="14">
        <v>1.9716676100000003</v>
      </c>
      <c r="IQ32" s="14">
        <v>2.1559068400000014</v>
      </c>
      <c r="IR32" s="14">
        <v>1.8233833199999985</v>
      </c>
      <c r="IS32" s="14">
        <v>2.16031576</v>
      </c>
      <c r="IT32" s="14">
        <v>2.5210782099999971</v>
      </c>
      <c r="IU32" s="14">
        <v>1.7676138200000016</v>
      </c>
      <c r="IV32" s="14">
        <v>2.1487485100000003</v>
      </c>
      <c r="IW32" s="14">
        <v>1.9654620600000003</v>
      </c>
      <c r="IX32" s="14">
        <v>2.2047303400000025</v>
      </c>
      <c r="IY32" s="14">
        <v>2.2662712199999997</v>
      </c>
      <c r="IZ32" s="14">
        <v>2.8038605500000022</v>
      </c>
      <c r="JA32" s="14">
        <v>2.3447775799999975</v>
      </c>
      <c r="JB32" s="14">
        <v>1.8802602999999998</v>
      </c>
      <c r="JC32" s="14">
        <v>2.0207506500000001</v>
      </c>
      <c r="JD32" s="14">
        <v>2.3992431699999996</v>
      </c>
      <c r="JE32" s="14">
        <v>1.9867996800000027</v>
      </c>
      <c r="JF32" s="14">
        <v>1.6424522199999987</v>
      </c>
      <c r="JG32" s="14">
        <v>1.669657629999999</v>
      </c>
      <c r="JH32" s="14">
        <v>2.00468431</v>
      </c>
      <c r="JI32" s="14">
        <v>1.9217512000000001</v>
      </c>
      <c r="JJ32" s="14">
        <v>1.7749446400000006</v>
      </c>
      <c r="JK32" s="14">
        <v>2.0964381500000009</v>
      </c>
      <c r="JL32" s="14">
        <v>1.9336398000000001</v>
      </c>
      <c r="JM32" s="14">
        <v>0.6261097419999998</v>
      </c>
      <c r="JN32" s="14">
        <v>1.8292526940000005</v>
      </c>
      <c r="JO32" s="14">
        <v>1.6044737639999993</v>
      </c>
      <c r="JP32" s="14">
        <v>1.4898364750049478</v>
      </c>
      <c r="JQ32" s="14">
        <v>1.2516791349999998</v>
      </c>
      <c r="JR32" s="14">
        <v>1.2692548740000003</v>
      </c>
      <c r="JS32" s="14">
        <v>0.94826646299999984</v>
      </c>
      <c r="JT32" s="14">
        <v>0.70493158599999983</v>
      </c>
      <c r="JU32" s="14">
        <v>0.71760646499999969</v>
      </c>
      <c r="JV32" s="14">
        <v>0.85372273699999979</v>
      </c>
      <c r="JW32" s="14">
        <v>0.66984035200000003</v>
      </c>
      <c r="JX32" s="14">
        <v>1.3417038388435434</v>
      </c>
      <c r="JY32" s="14">
        <v>0.98390929386486603</v>
      </c>
      <c r="JZ32" s="14">
        <v>1.2368348129822102</v>
      </c>
      <c r="KA32" s="14">
        <v>0.76511821200000052</v>
      </c>
      <c r="KB32" s="14">
        <v>0.86430300700000007</v>
      </c>
      <c r="KC32" s="14">
        <v>0.90278331477843332</v>
      </c>
      <c r="KD32" s="14">
        <v>1.1168464559999995</v>
      </c>
      <c r="KE32" s="14">
        <v>0.69979644000000063</v>
      </c>
      <c r="KF32" s="14">
        <v>0.95196670200000122</v>
      </c>
      <c r="KG32" s="14">
        <v>0.565828412</v>
      </c>
      <c r="KH32" s="14">
        <v>0.65022736099999989</v>
      </c>
      <c r="KI32" s="14">
        <v>0.76164541600000024</v>
      </c>
      <c r="KJ32" s="14">
        <v>0.54995008499999987</v>
      </c>
      <c r="KK32" s="14">
        <v>0.57202575699999991</v>
      </c>
      <c r="KL32" s="14">
        <v>0.573781718</v>
      </c>
      <c r="KM32" s="14">
        <v>0.78581606199999976</v>
      </c>
      <c r="KN32" s="14">
        <v>0.98001163800000013</v>
      </c>
      <c r="KO32" s="14">
        <v>1.4129432209999999</v>
      </c>
      <c r="KP32" s="14">
        <v>0.74364335299999995</v>
      </c>
      <c r="KQ32" s="14">
        <v>0.98833471699999964</v>
      </c>
      <c r="KR32" s="14">
        <v>0.86147927600000096</v>
      </c>
      <c r="KS32" s="14">
        <v>0.8672230278400368</v>
      </c>
      <c r="KT32" s="14">
        <v>1.028545488</v>
      </c>
      <c r="KU32" s="14">
        <v>1.0350951219999998</v>
      </c>
      <c r="KV32" s="14">
        <v>1.1282030713960605</v>
      </c>
      <c r="KW32" s="14">
        <v>0.73706565400000013</v>
      </c>
      <c r="KX32" s="14">
        <v>0.83441935400000056</v>
      </c>
      <c r="KY32" s="14">
        <v>1.0116451070000008</v>
      </c>
      <c r="KZ32" s="14">
        <v>1.1173836410000013</v>
      </c>
      <c r="LA32" s="14">
        <v>1.0458242430000007</v>
      </c>
      <c r="LB32" s="14">
        <v>1.0456504659999986</v>
      </c>
      <c r="LC32" s="14">
        <v>0.46286639537993052</v>
      </c>
      <c r="LD32" s="14">
        <v>0.87284641452917688</v>
      </c>
      <c r="LE32" s="14">
        <v>0.72272554374941933</v>
      </c>
      <c r="LF32" s="14">
        <v>0.86430806233416169</v>
      </c>
      <c r="LG32" s="14">
        <v>0.99131939561070825</v>
      </c>
      <c r="LH32" s="14">
        <v>1.3570790615431709</v>
      </c>
      <c r="LI32" s="14">
        <v>0.84172855871455321</v>
      </c>
      <c r="LJ32" s="14">
        <v>0.59888894337964615</v>
      </c>
      <c r="LK32" s="14">
        <v>0.82896116099249473</v>
      </c>
      <c r="LL32" s="14">
        <v>0.81963076766385956</v>
      </c>
      <c r="LM32" s="14">
        <v>1.0910379581196465</v>
      </c>
      <c r="LN32" s="14">
        <v>1.1200604853201108</v>
      </c>
      <c r="LO32" s="14">
        <v>0.98577696000000037</v>
      </c>
      <c r="LP32" s="14">
        <v>1.4094019599999998</v>
      </c>
      <c r="LQ32" s="14">
        <v>1.2175797800000003</v>
      </c>
      <c r="LR32" s="14">
        <v>1.4027144599999997</v>
      </c>
      <c r="LS32" s="14">
        <v>1.4914205099999995</v>
      </c>
      <c r="LT32" s="14">
        <v>1.5630994600000021</v>
      </c>
      <c r="LU32" s="149"/>
    </row>
    <row r="33" spans="1:333" x14ac:dyDescent="0.3">
      <c r="A33" s="21" t="s">
        <v>23</v>
      </c>
      <c r="B33" s="21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4">
        <v>0</v>
      </c>
      <c r="CJ33" s="14">
        <v>0</v>
      </c>
      <c r="CK33" s="14">
        <v>0</v>
      </c>
      <c r="CL33" s="14">
        <v>0</v>
      </c>
      <c r="CM33" s="14">
        <v>0</v>
      </c>
      <c r="CN33" s="14">
        <v>0</v>
      </c>
      <c r="CO33" s="14">
        <v>0</v>
      </c>
      <c r="CP33" s="14">
        <v>0</v>
      </c>
      <c r="CQ33" s="14">
        <v>0</v>
      </c>
      <c r="CR33" s="14">
        <v>0</v>
      </c>
      <c r="CS33" s="14">
        <v>0</v>
      </c>
      <c r="CT33" s="14">
        <v>0</v>
      </c>
      <c r="CU33" s="14">
        <v>0</v>
      </c>
      <c r="CV33" s="14">
        <v>0</v>
      </c>
      <c r="CW33" s="14">
        <v>0</v>
      </c>
      <c r="CX33" s="14">
        <v>0</v>
      </c>
      <c r="CY33" s="14">
        <v>0</v>
      </c>
      <c r="CZ33" s="14">
        <v>0</v>
      </c>
      <c r="DA33" s="14">
        <v>0</v>
      </c>
      <c r="DB33" s="14">
        <v>0</v>
      </c>
      <c r="DC33" s="14">
        <v>0</v>
      </c>
      <c r="DD33" s="14">
        <v>0</v>
      </c>
      <c r="DE33" s="14">
        <v>0</v>
      </c>
      <c r="DF33" s="14">
        <v>0</v>
      </c>
      <c r="DG33" s="14">
        <v>0</v>
      </c>
      <c r="DH33" s="14">
        <v>0</v>
      </c>
      <c r="DI33" s="14">
        <v>0</v>
      </c>
      <c r="DJ33" s="14">
        <v>0</v>
      </c>
      <c r="DK33" s="14">
        <v>0</v>
      </c>
      <c r="DL33" s="14">
        <v>0</v>
      </c>
      <c r="DM33" s="14">
        <v>0</v>
      </c>
      <c r="DN33" s="14">
        <v>0</v>
      </c>
      <c r="DO33" s="14">
        <v>0</v>
      </c>
      <c r="DP33" s="14">
        <v>0</v>
      </c>
      <c r="DQ33" s="14">
        <v>0</v>
      </c>
      <c r="DR33" s="14">
        <v>0</v>
      </c>
      <c r="DS33" s="14">
        <v>0</v>
      </c>
      <c r="DT33" s="14">
        <v>0</v>
      </c>
      <c r="DU33" s="14">
        <v>0</v>
      </c>
      <c r="DV33" s="14">
        <v>0</v>
      </c>
      <c r="DW33" s="14">
        <v>0</v>
      </c>
      <c r="DX33" s="14">
        <v>0</v>
      </c>
      <c r="DY33" s="14">
        <v>0</v>
      </c>
      <c r="DZ33" s="14">
        <v>0</v>
      </c>
      <c r="EA33" s="14">
        <v>0</v>
      </c>
      <c r="EB33" s="14">
        <v>0</v>
      </c>
      <c r="EC33" s="14">
        <v>0</v>
      </c>
      <c r="ED33" s="14">
        <v>0</v>
      </c>
      <c r="EE33" s="14">
        <v>0</v>
      </c>
      <c r="EF33" s="14">
        <v>0</v>
      </c>
      <c r="EG33" s="14">
        <v>0</v>
      </c>
      <c r="EH33" s="14">
        <v>0</v>
      </c>
      <c r="EI33" s="14">
        <v>0</v>
      </c>
      <c r="EJ33" s="14">
        <v>0</v>
      </c>
      <c r="EK33" s="14">
        <v>0</v>
      </c>
      <c r="EL33" s="14">
        <v>0</v>
      </c>
      <c r="EM33" s="14">
        <v>0</v>
      </c>
      <c r="EN33" s="14">
        <v>0</v>
      </c>
      <c r="EO33" s="14">
        <v>0</v>
      </c>
      <c r="EP33" s="14">
        <v>0</v>
      </c>
      <c r="EQ33" s="14">
        <v>0</v>
      </c>
      <c r="ER33" s="14">
        <v>0</v>
      </c>
      <c r="ES33" s="14">
        <v>0</v>
      </c>
      <c r="ET33" s="14">
        <v>0</v>
      </c>
      <c r="EU33" s="14">
        <v>0</v>
      </c>
      <c r="EV33" s="14">
        <v>0</v>
      </c>
      <c r="EW33" s="14">
        <v>0</v>
      </c>
      <c r="EX33" s="14">
        <v>0</v>
      </c>
      <c r="EY33" s="14">
        <v>0</v>
      </c>
      <c r="EZ33" s="14">
        <v>0</v>
      </c>
      <c r="FA33" s="14">
        <v>0</v>
      </c>
      <c r="FB33" s="14">
        <v>0</v>
      </c>
      <c r="FC33" s="14">
        <v>0</v>
      </c>
      <c r="FD33" s="14">
        <v>0</v>
      </c>
      <c r="FE33" s="14">
        <v>0</v>
      </c>
      <c r="FF33" s="14">
        <v>0</v>
      </c>
      <c r="FG33" s="14">
        <v>0</v>
      </c>
      <c r="FH33" s="14">
        <v>0</v>
      </c>
      <c r="FI33" s="14">
        <v>0</v>
      </c>
      <c r="FJ33" s="14">
        <v>0</v>
      </c>
      <c r="FK33" s="14">
        <v>0</v>
      </c>
      <c r="FL33" s="14">
        <v>0</v>
      </c>
      <c r="FM33" s="14">
        <v>0</v>
      </c>
      <c r="FN33" s="14">
        <v>0</v>
      </c>
      <c r="FO33" s="14">
        <v>0</v>
      </c>
      <c r="FP33" s="14">
        <v>0</v>
      </c>
      <c r="FQ33" s="14">
        <v>0</v>
      </c>
      <c r="FR33" s="14">
        <v>0</v>
      </c>
      <c r="FS33" s="14">
        <v>0</v>
      </c>
      <c r="FT33" s="14">
        <v>0</v>
      </c>
      <c r="FU33" s="14">
        <v>0</v>
      </c>
      <c r="FV33" s="14">
        <v>0</v>
      </c>
      <c r="FW33" s="14">
        <v>0</v>
      </c>
      <c r="FX33" s="14">
        <v>0</v>
      </c>
      <c r="FY33" s="14">
        <v>0</v>
      </c>
      <c r="FZ33" s="14">
        <v>0</v>
      </c>
      <c r="GA33" s="14">
        <v>0</v>
      </c>
      <c r="GB33" s="14">
        <v>0</v>
      </c>
      <c r="GC33" s="14">
        <v>0</v>
      </c>
      <c r="GD33" s="14">
        <v>0</v>
      </c>
      <c r="GE33" s="14">
        <v>0</v>
      </c>
      <c r="GF33" s="14">
        <v>0</v>
      </c>
      <c r="GG33" s="14">
        <v>0</v>
      </c>
      <c r="GH33" s="14">
        <v>0</v>
      </c>
      <c r="GI33" s="14">
        <v>0</v>
      </c>
      <c r="GJ33" s="14">
        <v>0</v>
      </c>
      <c r="GK33" s="14">
        <v>0</v>
      </c>
      <c r="GL33" s="14">
        <v>0</v>
      </c>
      <c r="GM33" s="14">
        <v>0</v>
      </c>
      <c r="GN33" s="14">
        <v>0</v>
      </c>
      <c r="GO33" s="14">
        <v>0</v>
      </c>
      <c r="GP33" s="14">
        <v>8.7370000000000001</v>
      </c>
      <c r="GQ33" s="14">
        <v>5.6710000000000003</v>
      </c>
      <c r="GR33" s="14">
        <v>7.3140000000000001</v>
      </c>
      <c r="GS33" s="14">
        <v>5.875</v>
      </c>
      <c r="GT33" s="14">
        <v>4.7960000000000003</v>
      </c>
      <c r="GU33" s="14">
        <v>6.1020000000000003</v>
      </c>
      <c r="GV33" s="14">
        <v>7.9550000000000001</v>
      </c>
      <c r="GW33" s="14">
        <v>6.6989999999999998</v>
      </c>
      <c r="GX33" s="14">
        <v>5.6459999999999999</v>
      </c>
      <c r="GY33" s="14">
        <v>8.0809999999999995</v>
      </c>
      <c r="GZ33" s="14">
        <v>6.1749999999999998</v>
      </c>
      <c r="HA33" s="14">
        <v>7.1769999999999996</v>
      </c>
      <c r="HB33" s="14">
        <v>4.1289999999999996</v>
      </c>
      <c r="HC33" s="14">
        <v>6.6849999999999996</v>
      </c>
      <c r="HD33" s="14">
        <v>0.85299999999999998</v>
      </c>
      <c r="HE33" s="14">
        <v>4.3529999999999998</v>
      </c>
      <c r="HF33" s="14">
        <v>3.948</v>
      </c>
      <c r="HG33" s="14">
        <v>5.2960000000000003</v>
      </c>
      <c r="HH33" s="14">
        <v>4.5369999999999999</v>
      </c>
      <c r="HI33" s="14">
        <v>6.5709999999999997</v>
      </c>
      <c r="HJ33" s="14">
        <v>4.202</v>
      </c>
      <c r="HK33" s="14">
        <v>8.1140000000000008</v>
      </c>
      <c r="HL33" s="14">
        <v>6.0389999999999997</v>
      </c>
      <c r="HM33" s="14">
        <v>4.9039999999999999</v>
      </c>
      <c r="HN33" s="14">
        <v>5.6449999999999996</v>
      </c>
      <c r="HO33" s="14">
        <v>3.456</v>
      </c>
      <c r="HP33" s="14">
        <v>4.327</v>
      </c>
      <c r="HQ33" s="14">
        <v>6.2930000000000001</v>
      </c>
      <c r="HR33" s="14">
        <v>5.5759999999999996</v>
      </c>
      <c r="HS33" s="14">
        <v>6.1210000000000004</v>
      </c>
      <c r="HT33" s="14">
        <v>6.2530000000000001</v>
      </c>
      <c r="HU33" s="14">
        <v>7.1980000000000004</v>
      </c>
      <c r="HV33" s="14">
        <v>6.47</v>
      </c>
      <c r="HW33" s="14">
        <v>6.5730000000000004</v>
      </c>
      <c r="HX33" s="14">
        <v>9.1859999999999999</v>
      </c>
      <c r="HY33" s="14">
        <v>8.1069999999999993</v>
      </c>
      <c r="HZ33" s="14">
        <v>5.0679999999999996</v>
      </c>
      <c r="IA33" s="14">
        <v>5.1219999999999999</v>
      </c>
      <c r="IB33" s="14">
        <v>9.0109999999999992</v>
      </c>
      <c r="IC33" s="14">
        <v>7.0176516399999995</v>
      </c>
      <c r="ID33" s="14">
        <v>10.791380810000003</v>
      </c>
      <c r="IE33" s="14">
        <v>10.074610530000001</v>
      </c>
      <c r="IF33" s="14">
        <v>9.7490957699999985</v>
      </c>
      <c r="IG33" s="14">
        <v>9.0187658299999995</v>
      </c>
      <c r="IH33" s="14">
        <v>9.2806456300000022</v>
      </c>
      <c r="II33" s="14">
        <v>15.218460079999996</v>
      </c>
      <c r="IJ33" s="14">
        <v>14.745645779999995</v>
      </c>
      <c r="IK33" s="14">
        <v>6.4982993799999997</v>
      </c>
      <c r="IL33" s="14">
        <v>11.02546882</v>
      </c>
      <c r="IM33" s="14">
        <v>10.75653028</v>
      </c>
      <c r="IN33" s="14">
        <v>14.311690399999998</v>
      </c>
      <c r="IO33" s="14">
        <v>9.4612147899999997</v>
      </c>
      <c r="IP33" s="14">
        <v>5.9570850999999996</v>
      </c>
      <c r="IQ33" s="14">
        <v>10.547172010000001</v>
      </c>
      <c r="IR33" s="14">
        <v>7.3303354399999998</v>
      </c>
      <c r="IS33" s="14">
        <v>10.06455699</v>
      </c>
      <c r="IT33" s="14">
        <v>12.538211029999999</v>
      </c>
      <c r="IU33" s="14">
        <v>13.79563823</v>
      </c>
      <c r="IV33" s="14">
        <v>13.869131649999998</v>
      </c>
      <c r="IW33" s="14">
        <v>17.740702110000001</v>
      </c>
      <c r="IX33" s="14">
        <v>17.039924559999999</v>
      </c>
      <c r="IY33" s="14">
        <v>19.27970165</v>
      </c>
      <c r="IZ33" s="14">
        <v>10.217227700000002</v>
      </c>
      <c r="JA33" s="14">
        <v>2.7790100400000006</v>
      </c>
      <c r="JB33" s="14">
        <v>4.3804518300000002</v>
      </c>
      <c r="JC33" s="14">
        <v>10.310550940000001</v>
      </c>
      <c r="JD33" s="14">
        <v>4.8019032400000023</v>
      </c>
      <c r="JE33" s="14">
        <v>5.3368460999999998</v>
      </c>
      <c r="JF33" s="14">
        <v>6.3913888800000001</v>
      </c>
      <c r="JG33" s="14">
        <v>1.9919578</v>
      </c>
      <c r="JH33" s="14">
        <v>4.06445569</v>
      </c>
      <c r="JI33" s="14">
        <v>4.3774126800000008</v>
      </c>
      <c r="JJ33" s="14">
        <v>1.4523423899999999</v>
      </c>
      <c r="JK33" s="14">
        <v>1.4311418499999999</v>
      </c>
      <c r="JL33" s="14">
        <v>2.0149219399999998</v>
      </c>
      <c r="JM33" s="14">
        <v>0.73467405399999997</v>
      </c>
      <c r="JN33" s="14">
        <v>0.22340605800000002</v>
      </c>
      <c r="JO33" s="14">
        <v>1.0462712569999999</v>
      </c>
      <c r="JP33" s="14">
        <v>0.518113374001127</v>
      </c>
      <c r="JQ33" s="14">
        <v>1.2797459070000001</v>
      </c>
      <c r="JR33" s="14">
        <v>0.50532482000000001</v>
      </c>
      <c r="JS33" s="14">
        <v>1.4909335539999999</v>
      </c>
      <c r="JT33" s="14">
        <v>1.0741959440000004</v>
      </c>
      <c r="JU33" s="14">
        <v>0.139076423</v>
      </c>
      <c r="JV33" s="14">
        <v>0.79374309999999992</v>
      </c>
      <c r="JW33" s="14">
        <v>0.25841039399999999</v>
      </c>
      <c r="JX33" s="14">
        <v>0.21909025199999999</v>
      </c>
      <c r="JY33" s="14">
        <v>0.185764178</v>
      </c>
      <c r="JZ33" s="14">
        <v>0.58434791099999994</v>
      </c>
      <c r="KA33" s="14">
        <v>0.57448290699999993</v>
      </c>
      <c r="KB33" s="14">
        <v>10.957196639999998</v>
      </c>
      <c r="KC33" s="14">
        <v>3.8528144529999997</v>
      </c>
      <c r="KD33" s="14">
        <v>3.0116880690000003</v>
      </c>
      <c r="KE33" s="14">
        <v>0.50913438538545364</v>
      </c>
      <c r="KF33" s="14">
        <v>0.211203735</v>
      </c>
      <c r="KG33" s="14">
        <v>8.9188235000000005E-2</v>
      </c>
      <c r="KH33" s="14">
        <v>0.31935712393094401</v>
      </c>
      <c r="KI33" s="14">
        <v>0.36544396199999996</v>
      </c>
      <c r="KJ33" s="14">
        <v>0.42259154699999996</v>
      </c>
      <c r="KK33" s="14">
        <v>8.2950921999999996E-2</v>
      </c>
      <c r="KL33" s="14">
        <v>0.34548299799999999</v>
      </c>
      <c r="KM33" s="14">
        <v>0.35224635400000004</v>
      </c>
      <c r="KN33" s="14">
        <v>0.264082027</v>
      </c>
      <c r="KO33" s="14">
        <v>0.39603813200000004</v>
      </c>
      <c r="KP33" s="14">
        <v>0.445738525</v>
      </c>
      <c r="KQ33" s="14">
        <v>0.16685326988799959</v>
      </c>
      <c r="KR33" s="14">
        <v>0.31926590099999996</v>
      </c>
      <c r="KS33" s="14">
        <v>1.4387674050000001</v>
      </c>
      <c r="KT33" s="14">
        <v>0.23248611</v>
      </c>
      <c r="KU33" s="14">
        <v>0.20147101699999997</v>
      </c>
      <c r="KV33" s="14">
        <v>0.38871603999999998</v>
      </c>
      <c r="KW33" s="14">
        <v>8.8758000000000001E-4</v>
      </c>
      <c r="KX33" s="14">
        <v>0.30667885900000003</v>
      </c>
      <c r="KY33" s="14">
        <v>2.9914379999999997E-2</v>
      </c>
      <c r="KZ33" s="14">
        <v>0.28154628299999995</v>
      </c>
      <c r="LA33" s="14">
        <v>7.4330323000000004E-2</v>
      </c>
      <c r="LB33" s="14">
        <v>0.8781511470000003</v>
      </c>
      <c r="LC33" s="14">
        <v>0.12169798296851091</v>
      </c>
      <c r="LD33" s="14">
        <v>4.7945321044148961E-2</v>
      </c>
      <c r="LE33" s="14">
        <v>0.36432839816149942</v>
      </c>
      <c r="LF33" s="14">
        <v>3.0771258196315158E-2</v>
      </c>
      <c r="LG33" s="14">
        <v>1.1712063163769472E-2</v>
      </c>
      <c r="LH33" s="14">
        <v>0.76645961932234341</v>
      </c>
      <c r="LI33" s="14">
        <v>0.17683742897211283</v>
      </c>
      <c r="LJ33" s="14">
        <v>0.16684228364485854</v>
      </c>
      <c r="LK33" s="14">
        <v>1.1691240937741589</v>
      </c>
      <c r="LL33" s="14">
        <v>0.1105707752669793</v>
      </c>
      <c r="LM33" s="14">
        <v>1.0951227868987834</v>
      </c>
      <c r="LN33" s="14">
        <v>7.1347632629746985E-2</v>
      </c>
      <c r="LO33" s="14">
        <v>5.0322120000000005E-2</v>
      </c>
      <c r="LP33" s="14">
        <v>0.25347649999999999</v>
      </c>
      <c r="LQ33" s="14">
        <v>5.9359760000000004E-2</v>
      </c>
      <c r="LR33" s="14">
        <v>0.28824252000000006</v>
      </c>
      <c r="LS33" s="14">
        <v>5.2461769999999991E-2</v>
      </c>
      <c r="LT33" s="14">
        <v>6.3641139999999999E-2</v>
      </c>
      <c r="LU33" s="149"/>
    </row>
    <row r="34" spans="1:333" x14ac:dyDescent="0.3">
      <c r="A34" s="21" t="s">
        <v>24</v>
      </c>
      <c r="B34" s="21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4">
        <v>0</v>
      </c>
      <c r="CJ34" s="14">
        <v>0</v>
      </c>
      <c r="CK34" s="14">
        <v>0</v>
      </c>
      <c r="CL34" s="14">
        <v>0</v>
      </c>
      <c r="CM34" s="14">
        <v>0</v>
      </c>
      <c r="CN34" s="14">
        <v>0</v>
      </c>
      <c r="CO34" s="14">
        <v>0</v>
      </c>
      <c r="CP34" s="14">
        <v>0</v>
      </c>
      <c r="CQ34" s="14">
        <v>0</v>
      </c>
      <c r="CR34" s="14">
        <v>0</v>
      </c>
      <c r="CS34" s="14">
        <v>0</v>
      </c>
      <c r="CT34" s="14">
        <v>0</v>
      </c>
      <c r="CU34" s="14">
        <v>0</v>
      </c>
      <c r="CV34" s="14">
        <v>0</v>
      </c>
      <c r="CW34" s="14">
        <v>0</v>
      </c>
      <c r="CX34" s="14">
        <v>0</v>
      </c>
      <c r="CY34" s="14">
        <v>0</v>
      </c>
      <c r="CZ34" s="14">
        <v>0</v>
      </c>
      <c r="DA34" s="14">
        <v>0</v>
      </c>
      <c r="DB34" s="14">
        <v>0</v>
      </c>
      <c r="DC34" s="14">
        <v>0</v>
      </c>
      <c r="DD34" s="14">
        <v>0</v>
      </c>
      <c r="DE34" s="14">
        <v>0</v>
      </c>
      <c r="DF34" s="14">
        <v>0</v>
      </c>
      <c r="DG34" s="14">
        <v>0</v>
      </c>
      <c r="DH34" s="14">
        <v>0</v>
      </c>
      <c r="DI34" s="14">
        <v>0</v>
      </c>
      <c r="DJ34" s="14">
        <v>0</v>
      </c>
      <c r="DK34" s="14">
        <v>0</v>
      </c>
      <c r="DL34" s="14">
        <v>0</v>
      </c>
      <c r="DM34" s="14">
        <v>0</v>
      </c>
      <c r="DN34" s="14">
        <v>0</v>
      </c>
      <c r="DO34" s="14">
        <v>0</v>
      </c>
      <c r="DP34" s="14">
        <v>0</v>
      </c>
      <c r="DQ34" s="14">
        <v>0</v>
      </c>
      <c r="DR34" s="14">
        <v>0</v>
      </c>
      <c r="DS34" s="14">
        <v>0</v>
      </c>
      <c r="DT34" s="14">
        <v>0</v>
      </c>
      <c r="DU34" s="14">
        <v>0</v>
      </c>
      <c r="DV34" s="14">
        <v>0</v>
      </c>
      <c r="DW34" s="14">
        <v>0</v>
      </c>
      <c r="DX34" s="14">
        <v>0</v>
      </c>
      <c r="DY34" s="14">
        <v>0</v>
      </c>
      <c r="DZ34" s="14">
        <v>0</v>
      </c>
      <c r="EA34" s="14">
        <v>0</v>
      </c>
      <c r="EB34" s="14">
        <v>0</v>
      </c>
      <c r="EC34" s="14">
        <v>0</v>
      </c>
      <c r="ED34" s="14">
        <v>0</v>
      </c>
      <c r="EE34" s="14">
        <v>0</v>
      </c>
      <c r="EF34" s="14">
        <v>0</v>
      </c>
      <c r="EG34" s="14">
        <v>0</v>
      </c>
      <c r="EH34" s="14">
        <v>0</v>
      </c>
      <c r="EI34" s="14">
        <v>0</v>
      </c>
      <c r="EJ34" s="14">
        <v>0</v>
      </c>
      <c r="EK34" s="14">
        <v>0</v>
      </c>
      <c r="EL34" s="14">
        <v>0</v>
      </c>
      <c r="EM34" s="14">
        <v>0</v>
      </c>
      <c r="EN34" s="14">
        <v>0</v>
      </c>
      <c r="EO34" s="14">
        <v>0</v>
      </c>
      <c r="EP34" s="14">
        <v>0</v>
      </c>
      <c r="EQ34" s="14">
        <v>0</v>
      </c>
      <c r="ER34" s="14">
        <v>0</v>
      </c>
      <c r="ES34" s="14">
        <v>0</v>
      </c>
      <c r="ET34" s="14">
        <v>0</v>
      </c>
      <c r="EU34" s="14">
        <v>0</v>
      </c>
      <c r="EV34" s="14">
        <v>0</v>
      </c>
      <c r="EW34" s="14">
        <v>0</v>
      </c>
      <c r="EX34" s="14">
        <v>0</v>
      </c>
      <c r="EY34" s="14">
        <v>0</v>
      </c>
      <c r="EZ34" s="14">
        <v>0</v>
      </c>
      <c r="FA34" s="14">
        <v>0</v>
      </c>
      <c r="FB34" s="14">
        <v>0</v>
      </c>
      <c r="FC34" s="14">
        <v>0</v>
      </c>
      <c r="FD34" s="14">
        <v>0</v>
      </c>
      <c r="FE34" s="14">
        <v>0</v>
      </c>
      <c r="FF34" s="14">
        <v>0</v>
      </c>
      <c r="FG34" s="14">
        <v>0</v>
      </c>
      <c r="FH34" s="14">
        <v>0</v>
      </c>
      <c r="FI34" s="14">
        <v>0</v>
      </c>
      <c r="FJ34" s="14">
        <v>0</v>
      </c>
      <c r="FK34" s="14">
        <v>0</v>
      </c>
      <c r="FL34" s="14">
        <v>0</v>
      </c>
      <c r="FM34" s="14">
        <v>0</v>
      </c>
      <c r="FN34" s="14">
        <v>0</v>
      </c>
      <c r="FO34" s="14">
        <v>0</v>
      </c>
      <c r="FP34" s="14">
        <v>0</v>
      </c>
      <c r="FQ34" s="14">
        <v>0</v>
      </c>
      <c r="FR34" s="14">
        <v>0</v>
      </c>
      <c r="FS34" s="14">
        <v>0</v>
      </c>
      <c r="FT34" s="14">
        <v>0</v>
      </c>
      <c r="FU34" s="14">
        <v>0</v>
      </c>
      <c r="FV34" s="14">
        <v>0</v>
      </c>
      <c r="FW34" s="14">
        <v>0</v>
      </c>
      <c r="FX34" s="14">
        <v>0</v>
      </c>
      <c r="FY34" s="14">
        <v>0</v>
      </c>
      <c r="FZ34" s="14">
        <v>0</v>
      </c>
      <c r="GA34" s="14">
        <v>0</v>
      </c>
      <c r="GB34" s="14">
        <v>0</v>
      </c>
      <c r="GC34" s="14">
        <v>0</v>
      </c>
      <c r="GD34" s="14">
        <v>0</v>
      </c>
      <c r="GE34" s="14">
        <v>0</v>
      </c>
      <c r="GF34" s="14">
        <v>0</v>
      </c>
      <c r="GG34" s="14">
        <v>0</v>
      </c>
      <c r="GH34" s="14">
        <v>0</v>
      </c>
      <c r="GI34" s="14">
        <v>0</v>
      </c>
      <c r="GJ34" s="14">
        <v>0</v>
      </c>
      <c r="GK34" s="14">
        <v>0</v>
      </c>
      <c r="GL34" s="14">
        <v>0</v>
      </c>
      <c r="GM34" s="14">
        <v>0</v>
      </c>
      <c r="GN34" s="14">
        <v>0</v>
      </c>
      <c r="GO34" s="14">
        <v>0</v>
      </c>
      <c r="GP34" s="14">
        <v>2.468</v>
      </c>
      <c r="GQ34" s="14">
        <v>2.9630000000000001</v>
      </c>
      <c r="GR34" s="14">
        <v>3.5779999999999998</v>
      </c>
      <c r="GS34" s="14">
        <v>2.976</v>
      </c>
      <c r="GT34" s="14">
        <v>3.4039999999999999</v>
      </c>
      <c r="GU34" s="14">
        <v>5.2190000000000003</v>
      </c>
      <c r="GV34" s="14">
        <v>6.72</v>
      </c>
      <c r="GW34" s="14">
        <v>6.82</v>
      </c>
      <c r="GX34" s="14">
        <v>6.0380000000000003</v>
      </c>
      <c r="GY34" s="14">
        <v>7.4359999999999999</v>
      </c>
      <c r="GZ34" s="14">
        <v>7.6559999999999997</v>
      </c>
      <c r="HA34" s="14">
        <v>7.8259999999999996</v>
      </c>
      <c r="HB34" s="14">
        <v>8.2449999999999992</v>
      </c>
      <c r="HC34" s="14">
        <v>7.2370000000000001</v>
      </c>
      <c r="HD34" s="14">
        <v>7.9930000000000003</v>
      </c>
      <c r="HE34" s="14">
        <v>6.8739999999999997</v>
      </c>
      <c r="HF34" s="14">
        <v>6.9160000000000004</v>
      </c>
      <c r="HG34" s="14">
        <v>6.6310000000000002</v>
      </c>
      <c r="HH34" s="14">
        <v>6.4420000000000002</v>
      </c>
      <c r="HI34" s="14">
        <v>7.1550000000000002</v>
      </c>
      <c r="HJ34" s="14">
        <v>5.7140000000000004</v>
      </c>
      <c r="HK34" s="14">
        <v>5.9470000000000001</v>
      </c>
      <c r="HL34" s="14">
        <v>7.65</v>
      </c>
      <c r="HM34" s="14">
        <v>6.9630000000000001</v>
      </c>
      <c r="HN34" s="14">
        <v>7.39</v>
      </c>
      <c r="HO34" s="14">
        <v>7.4710000000000001</v>
      </c>
      <c r="HP34" s="14">
        <v>7.5309999999999997</v>
      </c>
      <c r="HQ34" s="14">
        <v>7.085</v>
      </c>
      <c r="HR34" s="14">
        <v>5.992</v>
      </c>
      <c r="HS34" s="14">
        <v>6.5750000000000002</v>
      </c>
      <c r="HT34" s="14">
        <v>5.7089999999999996</v>
      </c>
      <c r="HU34" s="14">
        <v>5.1429999999999998</v>
      </c>
      <c r="HV34" s="14">
        <v>5.18</v>
      </c>
      <c r="HW34" s="14">
        <v>4.6900000000000004</v>
      </c>
      <c r="HX34" s="14">
        <v>5.3079999999999998</v>
      </c>
      <c r="HY34" s="14">
        <v>6.3140000000000001</v>
      </c>
      <c r="HZ34" s="14">
        <v>6.7149999999999999</v>
      </c>
      <c r="IA34" s="14">
        <v>5.9029999999999996</v>
      </c>
      <c r="IB34" s="14">
        <v>6.7629999999999999</v>
      </c>
      <c r="IC34" s="14">
        <v>6.7173577700000466</v>
      </c>
      <c r="ID34" s="14">
        <v>5.5352556500000061</v>
      </c>
      <c r="IE34" s="14">
        <v>7.9446989300000075</v>
      </c>
      <c r="IF34" s="14">
        <v>6.1212451099999727</v>
      </c>
      <c r="IG34" s="14">
        <v>6.8564732199999687</v>
      </c>
      <c r="IH34" s="14">
        <v>8.4079143800000047</v>
      </c>
      <c r="II34" s="14">
        <v>8.7187469900000494</v>
      </c>
      <c r="IJ34" s="14">
        <v>9.1430156899999844</v>
      </c>
      <c r="IK34" s="14">
        <v>8.8277013399998463</v>
      </c>
      <c r="IL34" s="14">
        <v>8.5422129800001194</v>
      </c>
      <c r="IM34" s="14">
        <v>8.8980057600000997</v>
      </c>
      <c r="IN34" s="14">
        <v>8.4401185100000635</v>
      </c>
      <c r="IO34" s="14">
        <v>8.5340045999999816</v>
      </c>
      <c r="IP34" s="14">
        <v>6.991452680000025</v>
      </c>
      <c r="IQ34" s="14">
        <v>8.0470035899999424</v>
      </c>
      <c r="IR34" s="14">
        <v>8.8112458400000886</v>
      </c>
      <c r="IS34" s="14">
        <v>8.6234738600000131</v>
      </c>
      <c r="IT34" s="14">
        <v>10.019026220000052</v>
      </c>
      <c r="IU34" s="14">
        <v>9.6609391099999655</v>
      </c>
      <c r="IV34" s="14">
        <v>11.154802860000009</v>
      </c>
      <c r="IW34" s="14">
        <v>9.1540863400000738</v>
      </c>
      <c r="IX34" s="14">
        <v>8.7558724099999861</v>
      </c>
      <c r="IY34" s="14">
        <v>8.2370372499999789</v>
      </c>
      <c r="IZ34" s="14">
        <v>9.0185546000000016</v>
      </c>
      <c r="JA34" s="14">
        <v>7.1724457599999996</v>
      </c>
      <c r="JB34" s="14">
        <v>8.6220433599999939</v>
      </c>
      <c r="JC34" s="14">
        <v>9.7044061499999792</v>
      </c>
      <c r="JD34" s="14">
        <v>8.0565031699999796</v>
      </c>
      <c r="JE34" s="14">
        <v>9.2764951099999937</v>
      </c>
      <c r="JF34" s="14">
        <v>8.967103889999958</v>
      </c>
      <c r="JG34" s="14">
        <v>9.177245699999995</v>
      </c>
      <c r="JH34" s="14">
        <v>9.3733113599999758</v>
      </c>
      <c r="JI34" s="14">
        <v>9.345566990000016</v>
      </c>
      <c r="JJ34" s="14">
        <v>8.4417069700000145</v>
      </c>
      <c r="JK34" s="14">
        <v>6.6670357600000125</v>
      </c>
      <c r="JL34" s="14">
        <v>8.1375651000000087</v>
      </c>
      <c r="JM34" s="14">
        <v>6.1828732220000484</v>
      </c>
      <c r="JN34" s="14">
        <v>7.0178972340000074</v>
      </c>
      <c r="JO34" s="14">
        <v>6.8289860510000011</v>
      </c>
      <c r="JP34" s="14">
        <v>5.1383219909999998</v>
      </c>
      <c r="JQ34" s="14">
        <v>7.3017811174504077</v>
      </c>
      <c r="JR34" s="14">
        <v>8.65707248096124</v>
      </c>
      <c r="JS34" s="14">
        <v>7.9655159052055655</v>
      </c>
      <c r="JT34" s="14">
        <v>9.0473621048967559</v>
      </c>
      <c r="JU34" s="14">
        <v>8.3167360611936303</v>
      </c>
      <c r="JV34" s="14">
        <v>7.6789851221207686</v>
      </c>
      <c r="JW34" s="14">
        <v>6.7349590895150335</v>
      </c>
      <c r="JX34" s="14">
        <v>8.5280084564689407</v>
      </c>
      <c r="JY34" s="14">
        <v>6.5799773613840227</v>
      </c>
      <c r="JZ34" s="14">
        <v>7.0852301988794153</v>
      </c>
      <c r="KA34" s="14">
        <v>7.833626927000001</v>
      </c>
      <c r="KB34" s="14">
        <v>7.110467824288552</v>
      </c>
      <c r="KC34" s="14">
        <v>7.4325354206589882</v>
      </c>
      <c r="KD34" s="14">
        <v>7.8927812805283892</v>
      </c>
      <c r="KE34" s="14">
        <v>7.4144243585450376</v>
      </c>
      <c r="KF34" s="14">
        <v>5.6643903044296531</v>
      </c>
      <c r="KG34" s="14">
        <v>5.1277646885558825</v>
      </c>
      <c r="KH34" s="14">
        <v>5.0009454201383416</v>
      </c>
      <c r="KI34" s="14">
        <v>5.8173306337541888</v>
      </c>
      <c r="KJ34" s="14">
        <v>7.1711371951027125</v>
      </c>
      <c r="KK34" s="14">
        <v>4.3831777710000077</v>
      </c>
      <c r="KL34" s="14">
        <v>4.5137904209999977</v>
      </c>
      <c r="KM34" s="14">
        <v>5.937342068184214</v>
      </c>
      <c r="KN34" s="14">
        <v>4.7388509770821257</v>
      </c>
      <c r="KO34" s="14">
        <v>5.7711986672196529</v>
      </c>
      <c r="KP34" s="14">
        <v>6.9357925900000366</v>
      </c>
      <c r="KQ34" s="14">
        <v>5.1841989712044105</v>
      </c>
      <c r="KR34" s="14">
        <v>5.1512189089999803</v>
      </c>
      <c r="KS34" s="14">
        <v>4.5774608942274115</v>
      </c>
      <c r="KT34" s="14">
        <v>4.5113145429999832</v>
      </c>
      <c r="KU34" s="14">
        <v>4.5815162916900398</v>
      </c>
      <c r="KV34" s="14">
        <v>4.558344029936034</v>
      </c>
      <c r="KW34" s="14">
        <v>2.6953769305316166</v>
      </c>
      <c r="KX34" s="14">
        <v>3.2897178490000103</v>
      </c>
      <c r="KY34" s="14">
        <v>3.8086527275124915</v>
      </c>
      <c r="KZ34" s="14">
        <v>4.4171666727109535</v>
      </c>
      <c r="LA34" s="14">
        <v>4.3543456280000301</v>
      </c>
      <c r="LB34" s="14">
        <v>3.0332888956515105</v>
      </c>
      <c r="LC34" s="14">
        <v>3.3391107425624429</v>
      </c>
      <c r="LD34" s="14">
        <v>3.191325427608688</v>
      </c>
      <c r="LE34" s="14">
        <v>3.761967534110541</v>
      </c>
      <c r="LF34" s="14">
        <v>3.0472503752040616</v>
      </c>
      <c r="LG34" s="14">
        <v>3.4579331122820607</v>
      </c>
      <c r="LH34" s="14">
        <v>3.2234614022553494</v>
      </c>
      <c r="LI34" s="14">
        <v>2.754385863881851</v>
      </c>
      <c r="LJ34" s="14">
        <v>3.9500607557385989</v>
      </c>
      <c r="LK34" s="14">
        <v>5.0367212107561414</v>
      </c>
      <c r="LL34" s="14">
        <v>4.4716632965395062</v>
      </c>
      <c r="LM34" s="14">
        <v>5.5764296367973119</v>
      </c>
      <c r="LN34" s="14">
        <v>3.5560809186760083</v>
      </c>
      <c r="LO34" s="14">
        <v>4.5709628799999571</v>
      </c>
      <c r="LP34" s="14">
        <v>3.333474869999995</v>
      </c>
      <c r="LQ34" s="14">
        <v>5.5914727399999986</v>
      </c>
      <c r="LR34" s="14">
        <v>6.0996035500000065</v>
      </c>
      <c r="LS34" s="14">
        <v>5.3264351900000184</v>
      </c>
      <c r="LT34" s="14">
        <v>6.0837162399999887</v>
      </c>
      <c r="LU34" s="149"/>
    </row>
    <row r="35" spans="1:333" x14ac:dyDescent="0.3">
      <c r="A35" s="20" t="s">
        <v>25</v>
      </c>
      <c r="B35" s="20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4">
        <v>0.187</v>
      </c>
      <c r="CJ35" s="14">
        <v>6.3E-2</v>
      </c>
      <c r="CK35" s="14">
        <v>0.11600000000000001</v>
      </c>
      <c r="CL35" s="14">
        <v>0.11900000000000001</v>
      </c>
      <c r="CM35" s="14">
        <v>0.18099999999999999</v>
      </c>
      <c r="CN35" s="14">
        <v>0.33400000000000002</v>
      </c>
      <c r="CO35" s="14">
        <v>0.19500000000000001</v>
      </c>
      <c r="CP35" s="14">
        <v>0.27100000000000002</v>
      </c>
      <c r="CQ35" s="14">
        <v>0.36</v>
      </c>
      <c r="CR35" s="14">
        <v>0.183</v>
      </c>
      <c r="CS35" s="14">
        <v>5.3999999999999999E-2</v>
      </c>
      <c r="CT35" s="14">
        <v>0.22800000000000001</v>
      </c>
      <c r="CU35" s="14">
        <v>5.7000000000000002E-2</v>
      </c>
      <c r="CV35" s="14">
        <v>0</v>
      </c>
      <c r="CW35" s="14">
        <v>0</v>
      </c>
      <c r="CX35" s="14">
        <v>0</v>
      </c>
      <c r="CY35" s="14">
        <v>0</v>
      </c>
      <c r="CZ35" s="14">
        <v>0.14011500000000002</v>
      </c>
      <c r="DA35" s="14">
        <v>0.22</v>
      </c>
      <c r="DB35" s="14">
        <v>0.10400000000000001</v>
      </c>
      <c r="DC35" s="14">
        <v>0.29699999999999999</v>
      </c>
      <c r="DD35" s="14">
        <v>0.105</v>
      </c>
      <c r="DE35" s="14">
        <v>0.10400000000000001</v>
      </c>
      <c r="DF35" s="14">
        <v>3.7000000000000005E-2</v>
      </c>
      <c r="DG35" s="14">
        <v>5.2000000000000005E-2</v>
      </c>
      <c r="DH35" s="14">
        <v>1.9E-2</v>
      </c>
      <c r="DI35" s="14">
        <v>0.01</v>
      </c>
      <c r="DJ35" s="14">
        <v>1.7000000000000001E-2</v>
      </c>
      <c r="DK35" s="14">
        <v>7.4999999999999997E-2</v>
      </c>
      <c r="DL35" s="14">
        <v>0.14499999999999999</v>
      </c>
      <c r="DM35" s="14">
        <v>0.17200000000000001</v>
      </c>
      <c r="DN35" s="14">
        <v>0.23300000000000001</v>
      </c>
      <c r="DO35" s="14">
        <v>0.30099999999999999</v>
      </c>
      <c r="DP35" s="14">
        <v>0.19900000000000001</v>
      </c>
      <c r="DQ35" s="14">
        <v>0.20600000000000002</v>
      </c>
      <c r="DR35" s="14">
        <v>9.9000000000000005E-2</v>
      </c>
      <c r="DS35" s="14">
        <v>6.5000000000000002E-2</v>
      </c>
      <c r="DT35" s="14">
        <v>3.2000000000000001E-2</v>
      </c>
      <c r="DU35" s="14">
        <v>8.7000000000000008E-2</v>
      </c>
      <c r="DV35" s="14">
        <v>9.0999999999999998E-2</v>
      </c>
      <c r="DW35" s="14">
        <v>0.11800000000000001</v>
      </c>
      <c r="DX35" s="14">
        <v>0.29899999999999999</v>
      </c>
      <c r="DY35" s="14">
        <v>0.35899999999999999</v>
      </c>
      <c r="DZ35" s="14">
        <v>0.27400000000000002</v>
      </c>
      <c r="EA35" s="14">
        <v>0.38800000000000001</v>
      </c>
      <c r="EB35" s="14">
        <v>0.44400000000000001</v>
      </c>
      <c r="EC35" s="14">
        <v>0.14699999999999999</v>
      </c>
      <c r="ED35" s="14">
        <v>0.187</v>
      </c>
      <c r="EE35" s="14">
        <v>0.23699999999999999</v>
      </c>
      <c r="EF35" s="14">
        <v>0.13400000000000001</v>
      </c>
      <c r="EG35" s="14">
        <v>0.17799999999999999</v>
      </c>
      <c r="EH35" s="14">
        <v>0.28999999999999998</v>
      </c>
      <c r="EI35" s="14">
        <v>0.53400000000000003</v>
      </c>
      <c r="EJ35" s="14">
        <v>0.46300000000000002</v>
      </c>
      <c r="EK35" s="14">
        <v>1.2869999999999999</v>
      </c>
      <c r="EL35" s="14">
        <v>1.0029999999999999</v>
      </c>
      <c r="EM35" s="14">
        <v>1.4510000000000001</v>
      </c>
      <c r="EN35" s="14">
        <v>0.57299999999999995</v>
      </c>
      <c r="EO35" s="14">
        <v>0.39600000000000002</v>
      </c>
      <c r="EP35" s="14">
        <v>0.22900000000000001</v>
      </c>
      <c r="EQ35" s="14">
        <v>1.2310000000000001</v>
      </c>
      <c r="ER35" s="14">
        <v>0.34300000000000003</v>
      </c>
      <c r="ES35" s="14">
        <v>0.29799999999999999</v>
      </c>
      <c r="ET35" s="14">
        <v>0.27900000000000003</v>
      </c>
      <c r="EU35" s="14">
        <v>0.35699999999999998</v>
      </c>
      <c r="EV35" s="14">
        <v>4.2000000000000003E-2</v>
      </c>
      <c r="EW35" s="14">
        <v>0.377</v>
      </c>
      <c r="EX35" s="14">
        <v>1.22</v>
      </c>
      <c r="EY35" s="14">
        <v>2.0579999999999998</v>
      </c>
      <c r="EZ35" s="14">
        <v>0.61699999999999999</v>
      </c>
      <c r="FA35" s="14">
        <v>0.40400000000000003</v>
      </c>
      <c r="FB35" s="14">
        <v>0.61399999999999999</v>
      </c>
      <c r="FC35" s="14">
        <v>0.70599999999999996</v>
      </c>
      <c r="FD35" s="14">
        <v>0.44500000000000001</v>
      </c>
      <c r="FE35" s="14">
        <v>0.45500000000000002</v>
      </c>
      <c r="FF35" s="14">
        <v>0.41299999999999998</v>
      </c>
      <c r="FG35" s="14">
        <v>0.55600000000000005</v>
      </c>
      <c r="FH35" s="14">
        <v>0.71099999999999997</v>
      </c>
      <c r="FI35" s="14">
        <v>0.50700000000000001</v>
      </c>
      <c r="FJ35" s="14">
        <v>1.399</v>
      </c>
      <c r="FK35" s="14">
        <v>1.087</v>
      </c>
      <c r="FL35" s="14">
        <v>0.67300000000000004</v>
      </c>
      <c r="FM35" s="14">
        <v>0.57699999999999996</v>
      </c>
      <c r="FN35" s="14">
        <v>0.649868</v>
      </c>
      <c r="FO35" s="14">
        <v>0.41599999999999998</v>
      </c>
      <c r="FP35" s="14">
        <v>0.57399999999999995</v>
      </c>
      <c r="FQ35" s="14">
        <v>0.39200000000000002</v>
      </c>
      <c r="FR35" s="14">
        <v>0.64400000000000002</v>
      </c>
      <c r="FS35" s="14">
        <v>1.2989999999999999</v>
      </c>
      <c r="FT35" s="14">
        <v>1.5349999999999999</v>
      </c>
      <c r="FU35" s="14">
        <v>1.847</v>
      </c>
      <c r="FV35" s="14">
        <v>1.2030000000000001</v>
      </c>
      <c r="FW35" s="14">
        <v>0.80600000000000005</v>
      </c>
      <c r="FX35" s="14">
        <v>0.45200000000000001</v>
      </c>
      <c r="FY35" s="14">
        <v>0.316</v>
      </c>
      <c r="FZ35" s="14">
        <v>0.623</v>
      </c>
      <c r="GA35" s="14">
        <v>0.39100000000000001</v>
      </c>
      <c r="GB35" s="14">
        <v>0.159</v>
      </c>
      <c r="GC35" s="14">
        <v>0.41199999999999998</v>
      </c>
      <c r="GD35" s="14">
        <v>0.998</v>
      </c>
      <c r="GE35" s="14">
        <v>1.379</v>
      </c>
      <c r="GF35" s="14">
        <v>1.4430000000000001</v>
      </c>
      <c r="GG35" s="14">
        <v>2.403</v>
      </c>
      <c r="GH35" s="14">
        <v>2.5350000000000001</v>
      </c>
      <c r="GI35" s="14">
        <v>1.772</v>
      </c>
      <c r="GJ35" s="14">
        <v>1.4530000000000001</v>
      </c>
      <c r="GK35" s="14">
        <v>1.7070000000000001</v>
      </c>
      <c r="GL35" s="14">
        <v>0.73899999999999999</v>
      </c>
      <c r="GM35" s="14">
        <v>0.53500000000000003</v>
      </c>
      <c r="GN35" s="14">
        <v>0.48799999999999999</v>
      </c>
      <c r="GO35" s="14">
        <v>0.56499999999999995</v>
      </c>
      <c r="GP35" s="14">
        <v>0.81399999999999995</v>
      </c>
      <c r="GQ35" s="14">
        <v>1.554</v>
      </c>
      <c r="GR35" s="14">
        <v>1.3180000000000001</v>
      </c>
      <c r="GS35" s="14">
        <v>3.8319999999999999</v>
      </c>
      <c r="GT35" s="14">
        <v>1.784</v>
      </c>
      <c r="GU35" s="14">
        <v>2.5270000000000001</v>
      </c>
      <c r="GV35" s="14">
        <v>1.58</v>
      </c>
      <c r="GW35" s="14">
        <v>1.542</v>
      </c>
      <c r="GX35" s="14">
        <v>3.6440000000000001</v>
      </c>
      <c r="GY35" s="14">
        <v>1.25</v>
      </c>
      <c r="GZ35" s="14">
        <v>0.34499999999999997</v>
      </c>
      <c r="HA35" s="14">
        <v>1.0649999999999999</v>
      </c>
      <c r="HB35" s="14">
        <v>0.85399999999999998</v>
      </c>
      <c r="HC35" s="14">
        <v>2.1019999999999999</v>
      </c>
      <c r="HD35" s="14">
        <v>1.3979999999999999</v>
      </c>
      <c r="HE35" s="14">
        <v>2.4319999999999999</v>
      </c>
      <c r="HF35" s="14">
        <v>2.1120000000000001</v>
      </c>
      <c r="HG35" s="14">
        <v>5.4039999999999999</v>
      </c>
      <c r="HH35" s="14">
        <v>1.863</v>
      </c>
      <c r="HI35" s="14">
        <v>2.0670000000000002</v>
      </c>
      <c r="HJ35" s="14">
        <v>0.79400000000000004</v>
      </c>
      <c r="HK35" s="14">
        <v>0.64600000000000002</v>
      </c>
      <c r="HL35" s="14">
        <v>0.879</v>
      </c>
      <c r="HM35" s="14">
        <v>0.92900000000000005</v>
      </c>
      <c r="HN35" s="14">
        <v>1.903</v>
      </c>
      <c r="HO35" s="14">
        <v>4.444</v>
      </c>
      <c r="HP35" s="14">
        <v>3.802</v>
      </c>
      <c r="HQ35" s="14">
        <v>4.8600000000000003</v>
      </c>
      <c r="HR35" s="14">
        <v>2.762</v>
      </c>
      <c r="HS35" s="14">
        <v>3.9409999999999998</v>
      </c>
      <c r="HT35" s="14">
        <v>2.9020000000000001</v>
      </c>
      <c r="HU35" s="14">
        <v>5.5519999999999996</v>
      </c>
      <c r="HV35" s="14">
        <v>2.7989999999999999</v>
      </c>
      <c r="HW35" s="14">
        <v>2.633</v>
      </c>
      <c r="HX35" s="14">
        <v>1.389</v>
      </c>
      <c r="HY35" s="14">
        <v>0.83699999999999997</v>
      </c>
      <c r="HZ35" s="14">
        <v>1.623</v>
      </c>
      <c r="IA35" s="14">
        <v>1.3280000000000001</v>
      </c>
      <c r="IB35" s="14">
        <v>2.7440000000000002</v>
      </c>
      <c r="IC35" s="14">
        <v>7.3520565599999932</v>
      </c>
      <c r="ID35" s="14">
        <v>4.9712552000000008</v>
      </c>
      <c r="IE35" s="14">
        <v>5.7055773699999977</v>
      </c>
      <c r="IF35" s="14">
        <v>3.7110443699999989</v>
      </c>
      <c r="IG35" s="14">
        <v>2.6978439299999999</v>
      </c>
      <c r="IH35" s="14">
        <v>3.2022402800000034</v>
      </c>
      <c r="II35" s="14">
        <v>2.1487407999999997</v>
      </c>
      <c r="IJ35" s="14">
        <v>1.1140909500000002</v>
      </c>
      <c r="IK35" s="14">
        <v>1.97373431</v>
      </c>
      <c r="IL35" s="14">
        <v>3.0254504799999977</v>
      </c>
      <c r="IM35" s="14">
        <v>4.1995107800000016</v>
      </c>
      <c r="IN35" s="14">
        <v>4.035148340000001</v>
      </c>
      <c r="IO35" s="14">
        <v>3.8060521600000023</v>
      </c>
      <c r="IP35" s="14">
        <v>4.1450114499999975</v>
      </c>
      <c r="IQ35" s="14">
        <v>4.5183332100000007</v>
      </c>
      <c r="IR35" s="14">
        <v>3.1091740499999982</v>
      </c>
      <c r="IS35" s="14">
        <v>2.9538690299999999</v>
      </c>
      <c r="IT35" s="14">
        <v>2.0073396900000011</v>
      </c>
      <c r="IU35" s="14">
        <v>1.0816247100000003</v>
      </c>
      <c r="IV35" s="14">
        <v>2.22479264</v>
      </c>
      <c r="IW35" s="14">
        <v>1.0343163400000002</v>
      </c>
      <c r="IX35" s="14">
        <v>3.0148150699999956</v>
      </c>
      <c r="IY35" s="14">
        <v>4.0117253199999983</v>
      </c>
      <c r="IZ35" s="14">
        <v>6.6693943799999937</v>
      </c>
      <c r="JA35" s="14">
        <v>6.8371390500000091</v>
      </c>
      <c r="JB35" s="14">
        <v>5.487866509999999</v>
      </c>
      <c r="JC35" s="14">
        <v>4.0738806799999994</v>
      </c>
      <c r="JD35" s="14">
        <v>4.9738024099999967</v>
      </c>
      <c r="JE35" s="14">
        <v>3.2585745799999972</v>
      </c>
      <c r="JF35" s="14">
        <v>6.045422560000004</v>
      </c>
      <c r="JG35" s="14">
        <v>1.9116178999999995</v>
      </c>
      <c r="JH35" s="14">
        <v>2.61191123</v>
      </c>
      <c r="JI35" s="14">
        <v>2.5975041700000014</v>
      </c>
      <c r="JJ35" s="14">
        <v>2.6289023199999999</v>
      </c>
      <c r="JK35" s="14">
        <v>4.0880469100000028</v>
      </c>
      <c r="JL35" s="14">
        <v>10.318153269999998</v>
      </c>
      <c r="JM35" s="14">
        <v>7.6104632130000001</v>
      </c>
      <c r="JN35" s="14">
        <v>8.9922017960000105</v>
      </c>
      <c r="JO35" s="14">
        <v>6.7002278930000045</v>
      </c>
      <c r="JP35" s="14">
        <v>4.4345689110000004</v>
      </c>
      <c r="JQ35" s="14">
        <v>4.9578259120000059</v>
      </c>
      <c r="JR35" s="14">
        <v>3.3794773420000004</v>
      </c>
      <c r="JS35" s="14">
        <v>4.2154928161975969</v>
      </c>
      <c r="JT35" s="14">
        <v>1.3710927787898595</v>
      </c>
      <c r="JU35" s="14">
        <v>2.7795318127559643</v>
      </c>
      <c r="JV35" s="14">
        <v>3.7363780090000001</v>
      </c>
      <c r="JW35" s="14">
        <v>6.5633056690000036</v>
      </c>
      <c r="JX35" s="14">
        <v>4.6885815700000002</v>
      </c>
      <c r="JY35" s="14">
        <v>6.6096562329999999</v>
      </c>
      <c r="JZ35" s="14">
        <v>5.1751755799999994</v>
      </c>
      <c r="KA35" s="14">
        <v>6.1063742090000055</v>
      </c>
      <c r="KB35" s="14">
        <v>4.2382745159999997</v>
      </c>
      <c r="KC35" s="14">
        <v>5.1631827039999978</v>
      </c>
      <c r="KD35" s="14">
        <v>4.2767299200000002</v>
      </c>
      <c r="KE35" s="14">
        <v>5.8867017520000084</v>
      </c>
      <c r="KF35" s="14">
        <v>3.6410352960000001</v>
      </c>
      <c r="KG35" s="14">
        <v>4.1172583099999986</v>
      </c>
      <c r="KH35" s="14">
        <v>2.1201209759999999</v>
      </c>
      <c r="KI35" s="14">
        <v>3.692803847776704</v>
      </c>
      <c r="KJ35" s="14">
        <v>4.6411857840000019</v>
      </c>
      <c r="KK35" s="14">
        <v>8.8077636229999978</v>
      </c>
      <c r="KL35" s="14">
        <v>8.0208517050000019</v>
      </c>
      <c r="KM35" s="14">
        <v>12.825313970128644</v>
      </c>
      <c r="KN35" s="14">
        <v>9.7284289329999947</v>
      </c>
      <c r="KO35" s="14">
        <v>4.0795235423008922</v>
      </c>
      <c r="KP35" s="14">
        <v>3.0255546509999989</v>
      </c>
      <c r="KQ35" s="14">
        <v>3.2818024410000004</v>
      </c>
      <c r="KR35" s="14">
        <v>2.2876594809999995</v>
      </c>
      <c r="KS35" s="14">
        <v>1.8810888809999995</v>
      </c>
      <c r="KT35" s="14">
        <v>3.924238195</v>
      </c>
      <c r="KU35" s="14">
        <v>6.2336753780000027</v>
      </c>
      <c r="KV35" s="14">
        <v>10.899866034000002</v>
      </c>
      <c r="KW35" s="14">
        <v>6.8667424919999966</v>
      </c>
      <c r="KX35" s="14">
        <v>6.8212307179999891</v>
      </c>
      <c r="KY35" s="14">
        <v>5.0117597620000014</v>
      </c>
      <c r="KZ35" s="14">
        <v>3.7218854560000003</v>
      </c>
      <c r="LA35" s="14">
        <v>4.0505851109999975</v>
      </c>
      <c r="LB35" s="14">
        <v>3.9244494850000011</v>
      </c>
      <c r="LC35" s="14">
        <v>5.6858721277133979</v>
      </c>
      <c r="LD35" s="14">
        <v>2.534441444283571</v>
      </c>
      <c r="LE35" s="14">
        <v>2.2634382929096653</v>
      </c>
      <c r="LF35" s="14">
        <v>4.310444253154281</v>
      </c>
      <c r="LG35" s="14">
        <v>4.048290091812893</v>
      </c>
      <c r="LH35" s="14">
        <v>4.9763924431478053</v>
      </c>
      <c r="LI35" s="14">
        <v>6.7070684702227732</v>
      </c>
      <c r="LJ35" s="14">
        <v>7.7288377121523517</v>
      </c>
      <c r="LK35" s="14">
        <v>7.0402786826989718</v>
      </c>
      <c r="LL35" s="14">
        <v>6.3549471352855802</v>
      </c>
      <c r="LM35" s="14">
        <v>4.3627264380929809</v>
      </c>
      <c r="LN35" s="14">
        <v>2.891509368385325</v>
      </c>
      <c r="LO35" s="14">
        <v>3.2382682299999983</v>
      </c>
      <c r="LP35" s="14">
        <v>2.3285659799999991</v>
      </c>
      <c r="LQ35" s="14">
        <v>4.1169477599999968</v>
      </c>
      <c r="LR35" s="14">
        <v>5.9761878299999918</v>
      </c>
      <c r="LS35" s="14">
        <v>6.4417086199999991</v>
      </c>
      <c r="LT35" s="14">
        <v>7.4752230799999895</v>
      </c>
      <c r="LU35" s="149"/>
    </row>
    <row r="36" spans="1:333" x14ac:dyDescent="0.3">
      <c r="A36" s="19" t="s">
        <v>26</v>
      </c>
      <c r="B36" s="19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4">
        <v>0</v>
      </c>
      <c r="CJ36" s="14">
        <v>0</v>
      </c>
      <c r="CK36" s="14">
        <v>0</v>
      </c>
      <c r="CL36" s="14">
        <v>0</v>
      </c>
      <c r="CM36" s="14">
        <v>0</v>
      </c>
      <c r="CN36" s="14">
        <v>0</v>
      </c>
      <c r="CO36" s="14">
        <v>0</v>
      </c>
      <c r="CP36" s="14">
        <v>0</v>
      </c>
      <c r="CQ36" s="14">
        <v>0</v>
      </c>
      <c r="CR36" s="14">
        <v>0</v>
      </c>
      <c r="CS36" s="14">
        <v>0</v>
      </c>
      <c r="CT36" s="14">
        <v>0</v>
      </c>
      <c r="CU36" s="14">
        <v>0</v>
      </c>
      <c r="CV36" s="14">
        <v>0</v>
      </c>
      <c r="CW36" s="14">
        <v>0</v>
      </c>
      <c r="CX36" s="14">
        <v>0</v>
      </c>
      <c r="CY36" s="14">
        <v>0</v>
      </c>
      <c r="CZ36" s="14">
        <v>0</v>
      </c>
      <c r="DA36" s="14">
        <v>0</v>
      </c>
      <c r="DB36" s="14">
        <v>0</v>
      </c>
      <c r="DC36" s="14">
        <v>0</v>
      </c>
      <c r="DD36" s="14">
        <v>0</v>
      </c>
      <c r="DE36" s="14">
        <v>0</v>
      </c>
      <c r="DF36" s="14">
        <v>0</v>
      </c>
      <c r="DG36" s="14">
        <v>0</v>
      </c>
      <c r="DH36" s="14">
        <v>0</v>
      </c>
      <c r="DI36" s="14">
        <v>0</v>
      </c>
      <c r="DJ36" s="14">
        <v>0</v>
      </c>
      <c r="DK36" s="14">
        <v>0</v>
      </c>
      <c r="DL36" s="14">
        <v>0</v>
      </c>
      <c r="DM36" s="14">
        <v>0</v>
      </c>
      <c r="DN36" s="14">
        <v>0</v>
      </c>
      <c r="DO36" s="14">
        <v>0</v>
      </c>
      <c r="DP36" s="14">
        <v>0</v>
      </c>
      <c r="DQ36" s="14">
        <v>0</v>
      </c>
      <c r="DR36" s="14">
        <v>0</v>
      </c>
      <c r="DS36" s="14">
        <v>0</v>
      </c>
      <c r="DT36" s="14">
        <v>0</v>
      </c>
      <c r="DU36" s="14">
        <v>0</v>
      </c>
      <c r="DV36" s="14">
        <v>0</v>
      </c>
      <c r="DW36" s="14">
        <v>0</v>
      </c>
      <c r="DX36" s="14">
        <v>0</v>
      </c>
      <c r="DY36" s="14">
        <v>0</v>
      </c>
      <c r="DZ36" s="14">
        <v>0</v>
      </c>
      <c r="EA36" s="14">
        <v>0</v>
      </c>
      <c r="EB36" s="14">
        <v>0</v>
      </c>
      <c r="EC36" s="14">
        <v>0</v>
      </c>
      <c r="ED36" s="14">
        <v>0</v>
      </c>
      <c r="EE36" s="14">
        <v>0</v>
      </c>
      <c r="EF36" s="14">
        <v>0</v>
      </c>
      <c r="EG36" s="14">
        <v>0</v>
      </c>
      <c r="EH36" s="14">
        <v>0</v>
      </c>
      <c r="EI36" s="14">
        <v>0</v>
      </c>
      <c r="EJ36" s="14">
        <v>0</v>
      </c>
      <c r="EK36" s="14">
        <v>0</v>
      </c>
      <c r="EL36" s="14">
        <v>0</v>
      </c>
      <c r="EM36" s="14">
        <v>0</v>
      </c>
      <c r="EN36" s="14">
        <v>0</v>
      </c>
      <c r="EO36" s="14">
        <v>0</v>
      </c>
      <c r="EP36" s="14">
        <v>0</v>
      </c>
      <c r="EQ36" s="14">
        <v>0</v>
      </c>
      <c r="ER36" s="14">
        <v>0</v>
      </c>
      <c r="ES36" s="14">
        <v>0</v>
      </c>
      <c r="ET36" s="14">
        <v>0</v>
      </c>
      <c r="EU36" s="14">
        <v>0</v>
      </c>
      <c r="EV36" s="14">
        <v>0</v>
      </c>
      <c r="EW36" s="14">
        <v>0</v>
      </c>
      <c r="EX36" s="14">
        <v>0</v>
      </c>
      <c r="EY36" s="14">
        <v>0</v>
      </c>
      <c r="EZ36" s="14">
        <v>0</v>
      </c>
      <c r="FA36" s="14">
        <v>0</v>
      </c>
      <c r="FB36" s="14">
        <v>0</v>
      </c>
      <c r="FC36" s="14">
        <v>0</v>
      </c>
      <c r="FD36" s="14">
        <v>0</v>
      </c>
      <c r="FE36" s="14">
        <v>0</v>
      </c>
      <c r="FF36" s="14">
        <v>0</v>
      </c>
      <c r="FG36" s="14">
        <v>0</v>
      </c>
      <c r="FH36" s="14">
        <v>0</v>
      </c>
      <c r="FI36" s="14">
        <v>0</v>
      </c>
      <c r="FJ36" s="14">
        <v>0</v>
      </c>
      <c r="FK36" s="14">
        <v>0</v>
      </c>
      <c r="FL36" s="14">
        <v>0</v>
      </c>
      <c r="FM36" s="14">
        <v>0</v>
      </c>
      <c r="FN36" s="14">
        <v>0</v>
      </c>
      <c r="FO36" s="14">
        <v>0</v>
      </c>
      <c r="FP36" s="14">
        <v>0</v>
      </c>
      <c r="FQ36" s="14">
        <v>0</v>
      </c>
      <c r="FR36" s="14">
        <v>0</v>
      </c>
      <c r="FS36" s="14">
        <v>0</v>
      </c>
      <c r="FT36" s="14">
        <v>0</v>
      </c>
      <c r="FU36" s="14">
        <v>0</v>
      </c>
      <c r="FV36" s="14">
        <v>0</v>
      </c>
      <c r="FW36" s="14">
        <v>0</v>
      </c>
      <c r="FX36" s="14">
        <v>0</v>
      </c>
      <c r="FY36" s="14">
        <v>0</v>
      </c>
      <c r="FZ36" s="14">
        <v>0</v>
      </c>
      <c r="GA36" s="14">
        <v>0</v>
      </c>
      <c r="GB36" s="14">
        <v>0</v>
      </c>
      <c r="GC36" s="14">
        <v>0</v>
      </c>
      <c r="GD36" s="14">
        <v>0</v>
      </c>
      <c r="GE36" s="14">
        <v>0</v>
      </c>
      <c r="GF36" s="14">
        <v>0</v>
      </c>
      <c r="GG36" s="14">
        <v>0</v>
      </c>
      <c r="GH36" s="14">
        <v>0</v>
      </c>
      <c r="GI36" s="14">
        <v>0</v>
      </c>
      <c r="GJ36" s="14">
        <v>0</v>
      </c>
      <c r="GK36" s="14">
        <v>0</v>
      </c>
      <c r="GL36" s="14">
        <v>0</v>
      </c>
      <c r="GM36" s="14">
        <v>0</v>
      </c>
      <c r="GN36" s="14">
        <v>0</v>
      </c>
      <c r="GO36" s="14">
        <v>0</v>
      </c>
      <c r="GP36" s="14">
        <v>0.23200000000000001</v>
      </c>
      <c r="GQ36" s="14">
        <v>9.4E-2</v>
      </c>
      <c r="GR36" s="14">
        <v>4.2000000000000003E-2</v>
      </c>
      <c r="GS36" s="14">
        <v>7.1999999999999995E-2</v>
      </c>
      <c r="GT36" s="14">
        <v>8.5000000000000006E-2</v>
      </c>
      <c r="GU36" s="14">
        <v>8.2000000000000003E-2</v>
      </c>
      <c r="GV36" s="14">
        <v>0</v>
      </c>
      <c r="GW36" s="14">
        <v>0</v>
      </c>
      <c r="GX36" s="14">
        <v>1E-3</v>
      </c>
      <c r="GY36" s="14">
        <v>0</v>
      </c>
      <c r="GZ36" s="14">
        <v>4.2000000000000003E-2</v>
      </c>
      <c r="HA36" s="14">
        <v>0</v>
      </c>
      <c r="HB36" s="14">
        <v>0</v>
      </c>
      <c r="HC36" s="14">
        <v>0</v>
      </c>
      <c r="HD36" s="14">
        <v>0</v>
      </c>
      <c r="HE36" s="14">
        <v>0</v>
      </c>
      <c r="HF36" s="14">
        <v>0.41299999999999998</v>
      </c>
      <c r="HG36" s="14">
        <v>0.114</v>
      </c>
      <c r="HH36" s="14">
        <v>0.61099999999999999</v>
      </c>
      <c r="HI36" s="14">
        <v>0.438</v>
      </c>
      <c r="HJ36" s="14">
        <v>0.115</v>
      </c>
      <c r="HK36" s="14">
        <v>0</v>
      </c>
      <c r="HL36" s="14">
        <v>0</v>
      </c>
      <c r="HM36" s="14">
        <v>0</v>
      </c>
      <c r="HN36" s="14">
        <v>0</v>
      </c>
      <c r="HO36" s="14">
        <v>0</v>
      </c>
      <c r="HP36" s="14">
        <v>4.4999999999999998E-2</v>
      </c>
      <c r="HQ36" s="14">
        <v>5.5E-2</v>
      </c>
      <c r="HR36" s="14">
        <v>1.17</v>
      </c>
      <c r="HS36" s="14">
        <v>2.2290000000000001</v>
      </c>
      <c r="HT36" s="14">
        <v>1.7170000000000001</v>
      </c>
      <c r="HU36" s="14">
        <v>1.22</v>
      </c>
      <c r="HV36" s="14">
        <v>0</v>
      </c>
      <c r="HW36" s="14">
        <v>0</v>
      </c>
      <c r="HX36" s="14">
        <v>0</v>
      </c>
      <c r="HY36" s="14">
        <v>0</v>
      </c>
      <c r="HZ36" s="14">
        <v>0</v>
      </c>
      <c r="IA36" s="14">
        <v>0.13</v>
      </c>
      <c r="IB36" s="14">
        <v>1.417</v>
      </c>
      <c r="IC36" s="14">
        <v>1.0401659299999999</v>
      </c>
      <c r="ID36" s="14">
        <v>1.5334461200000002</v>
      </c>
      <c r="IE36" s="14">
        <v>0</v>
      </c>
      <c r="IF36" s="14">
        <v>0</v>
      </c>
      <c r="IG36" s="14">
        <v>0</v>
      </c>
      <c r="IH36" s="14">
        <v>0</v>
      </c>
      <c r="II36" s="14">
        <v>0</v>
      </c>
      <c r="IJ36" s="14">
        <v>0</v>
      </c>
      <c r="IK36" s="14">
        <v>0</v>
      </c>
      <c r="IL36" s="14">
        <v>1.3140000000000001E-2</v>
      </c>
      <c r="IM36" s="14">
        <v>0</v>
      </c>
      <c r="IN36" s="14">
        <v>0</v>
      </c>
      <c r="IO36" s="14">
        <v>0</v>
      </c>
      <c r="IP36" s="14">
        <v>0</v>
      </c>
      <c r="IQ36" s="14">
        <v>0.20806374000000002</v>
      </c>
      <c r="IR36" s="14">
        <v>0</v>
      </c>
      <c r="IS36" s="14">
        <v>3.3701969999999998E-2</v>
      </c>
      <c r="IT36" s="14">
        <v>4.6040690000000002E-2</v>
      </c>
      <c r="IU36" s="14">
        <v>2.58318E-3</v>
      </c>
      <c r="IV36" s="14">
        <v>1E-4</v>
      </c>
      <c r="IW36" s="14">
        <v>1E-4</v>
      </c>
      <c r="IX36" s="14">
        <v>0</v>
      </c>
      <c r="IY36" s="14">
        <v>1.1730000000000001E-5</v>
      </c>
      <c r="IZ36" s="14">
        <v>0</v>
      </c>
      <c r="JA36" s="14">
        <v>0</v>
      </c>
      <c r="JB36" s="14">
        <v>1E-4</v>
      </c>
      <c r="JC36" s="14">
        <v>0</v>
      </c>
      <c r="JD36" s="14">
        <v>4.0853559999999997E-2</v>
      </c>
      <c r="JE36" s="14">
        <v>8.849723000000001E-2</v>
      </c>
      <c r="JF36" s="14">
        <v>4.593647E-2</v>
      </c>
      <c r="JG36" s="14">
        <v>4.5901999999999998E-2</v>
      </c>
      <c r="JH36" s="14">
        <v>0</v>
      </c>
      <c r="JI36" s="14">
        <v>0</v>
      </c>
      <c r="JJ36" s="14">
        <v>0</v>
      </c>
      <c r="JK36" s="14">
        <v>2.0375999999999999E-4</v>
      </c>
      <c r="JL36" s="14">
        <v>0</v>
      </c>
      <c r="JM36" s="14">
        <v>0</v>
      </c>
      <c r="JN36" s="14">
        <v>0</v>
      </c>
      <c r="JO36" s="14">
        <v>0</v>
      </c>
      <c r="JP36" s="14">
        <v>0</v>
      </c>
      <c r="JQ36" s="14">
        <v>0</v>
      </c>
      <c r="JR36" s="14">
        <v>0</v>
      </c>
      <c r="JS36" s="14">
        <v>0</v>
      </c>
      <c r="JT36" s="14">
        <v>0</v>
      </c>
      <c r="JU36" s="14">
        <v>0</v>
      </c>
      <c r="JV36" s="14">
        <v>0</v>
      </c>
      <c r="JW36" s="14">
        <v>0</v>
      </c>
      <c r="JX36" s="14">
        <v>0</v>
      </c>
      <c r="JY36" s="14">
        <v>0</v>
      </c>
      <c r="JZ36" s="14">
        <v>0</v>
      </c>
      <c r="KA36" s="14">
        <v>0</v>
      </c>
      <c r="KB36" s="14">
        <v>0</v>
      </c>
      <c r="KC36" s="14">
        <v>0</v>
      </c>
      <c r="KD36" s="14">
        <v>0</v>
      </c>
      <c r="KE36" s="14">
        <v>0</v>
      </c>
      <c r="KF36" s="14">
        <v>0</v>
      </c>
      <c r="KG36" s="14">
        <v>0</v>
      </c>
      <c r="KH36" s="14">
        <v>0</v>
      </c>
      <c r="KI36" s="14">
        <v>0</v>
      </c>
      <c r="KJ36" s="14">
        <v>0</v>
      </c>
      <c r="KK36" s="14">
        <v>0</v>
      </c>
      <c r="KL36" s="14">
        <v>0</v>
      </c>
      <c r="KM36" s="14">
        <v>1.9798E-4</v>
      </c>
      <c r="KN36" s="14">
        <v>0</v>
      </c>
      <c r="KO36" s="14">
        <v>0</v>
      </c>
      <c r="KP36" s="14">
        <v>0</v>
      </c>
      <c r="KQ36" s="14">
        <v>0</v>
      </c>
      <c r="KR36" s="14">
        <v>0</v>
      </c>
      <c r="KS36" s="14">
        <v>0</v>
      </c>
      <c r="KT36" s="14">
        <v>0</v>
      </c>
      <c r="KU36" s="14">
        <v>0</v>
      </c>
      <c r="KV36" s="14">
        <v>0</v>
      </c>
      <c r="KW36" s="14">
        <v>0</v>
      </c>
      <c r="KX36" s="14">
        <v>0</v>
      </c>
      <c r="KY36" s="14">
        <v>0</v>
      </c>
      <c r="KZ36" s="14">
        <v>0</v>
      </c>
      <c r="LA36" s="14">
        <v>0</v>
      </c>
      <c r="LB36" s="14">
        <v>0</v>
      </c>
      <c r="LC36" s="14">
        <v>0</v>
      </c>
      <c r="LD36" s="14">
        <v>0</v>
      </c>
      <c r="LE36" s="14">
        <v>0</v>
      </c>
      <c r="LF36" s="14">
        <v>0</v>
      </c>
      <c r="LG36" s="14">
        <v>0</v>
      </c>
      <c r="LH36" s="14">
        <v>0</v>
      </c>
      <c r="LI36" s="14">
        <v>0</v>
      </c>
      <c r="LJ36" s="14">
        <v>0</v>
      </c>
      <c r="LK36" s="14">
        <v>0</v>
      </c>
      <c r="LL36" s="14">
        <v>0</v>
      </c>
      <c r="LM36" s="14">
        <v>0</v>
      </c>
      <c r="LN36" s="14">
        <v>0</v>
      </c>
      <c r="LO36" s="14">
        <v>0</v>
      </c>
      <c r="LP36" s="14">
        <v>0</v>
      </c>
      <c r="LQ36" s="14">
        <v>0</v>
      </c>
      <c r="LR36" s="14">
        <v>0</v>
      </c>
      <c r="LS36" s="14">
        <v>0</v>
      </c>
      <c r="LT36" s="14">
        <v>0</v>
      </c>
      <c r="LU36" s="149"/>
    </row>
    <row r="37" spans="1:333" x14ac:dyDescent="0.3">
      <c r="A37" s="19" t="s">
        <v>27</v>
      </c>
      <c r="B37" s="19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4">
        <v>0</v>
      </c>
      <c r="CJ37" s="14">
        <v>0</v>
      </c>
      <c r="CK37" s="14">
        <v>0</v>
      </c>
      <c r="CL37" s="14">
        <v>0</v>
      </c>
      <c r="CM37" s="14">
        <v>0</v>
      </c>
      <c r="CN37" s="14">
        <v>0</v>
      </c>
      <c r="CO37" s="14">
        <v>0</v>
      </c>
      <c r="CP37" s="14">
        <v>0</v>
      </c>
      <c r="CQ37" s="14">
        <v>0</v>
      </c>
      <c r="CR37" s="14">
        <v>0</v>
      </c>
      <c r="CS37" s="14">
        <v>0</v>
      </c>
      <c r="CT37" s="14">
        <v>0</v>
      </c>
      <c r="CU37" s="14">
        <v>0</v>
      </c>
      <c r="CV37" s="14">
        <v>0</v>
      </c>
      <c r="CW37" s="14">
        <v>0</v>
      </c>
      <c r="CX37" s="14">
        <v>0</v>
      </c>
      <c r="CY37" s="14">
        <v>0</v>
      </c>
      <c r="CZ37" s="14">
        <v>0</v>
      </c>
      <c r="DA37" s="14">
        <v>0</v>
      </c>
      <c r="DB37" s="14">
        <v>0</v>
      </c>
      <c r="DC37" s="14">
        <v>0</v>
      </c>
      <c r="DD37" s="14">
        <v>0</v>
      </c>
      <c r="DE37" s="14">
        <v>0</v>
      </c>
      <c r="DF37" s="14">
        <v>0</v>
      </c>
      <c r="DG37" s="14">
        <v>0</v>
      </c>
      <c r="DH37" s="14">
        <v>0</v>
      </c>
      <c r="DI37" s="14">
        <v>0</v>
      </c>
      <c r="DJ37" s="14">
        <v>0</v>
      </c>
      <c r="DK37" s="14">
        <v>0</v>
      </c>
      <c r="DL37" s="14">
        <v>0</v>
      </c>
      <c r="DM37" s="14">
        <v>0</v>
      </c>
      <c r="DN37" s="14">
        <v>0</v>
      </c>
      <c r="DO37" s="14">
        <v>0</v>
      </c>
      <c r="DP37" s="14">
        <v>0</v>
      </c>
      <c r="DQ37" s="14">
        <v>0</v>
      </c>
      <c r="DR37" s="14">
        <v>0</v>
      </c>
      <c r="DS37" s="14">
        <v>0</v>
      </c>
      <c r="DT37" s="14">
        <v>0</v>
      </c>
      <c r="DU37" s="14">
        <v>0</v>
      </c>
      <c r="DV37" s="14">
        <v>0</v>
      </c>
      <c r="DW37" s="14">
        <v>0</v>
      </c>
      <c r="DX37" s="14">
        <v>0</v>
      </c>
      <c r="DY37" s="14">
        <v>0</v>
      </c>
      <c r="DZ37" s="14">
        <v>0</v>
      </c>
      <c r="EA37" s="14">
        <v>0</v>
      </c>
      <c r="EB37" s="14">
        <v>0</v>
      </c>
      <c r="EC37" s="14">
        <v>0</v>
      </c>
      <c r="ED37" s="14">
        <v>0</v>
      </c>
      <c r="EE37" s="14">
        <v>0</v>
      </c>
      <c r="EF37" s="14">
        <v>0</v>
      </c>
      <c r="EG37" s="14">
        <v>0</v>
      </c>
      <c r="EH37" s="14">
        <v>0</v>
      </c>
      <c r="EI37" s="14">
        <v>0</v>
      </c>
      <c r="EJ37" s="14">
        <v>0</v>
      </c>
      <c r="EK37" s="14">
        <v>0</v>
      </c>
      <c r="EL37" s="14">
        <v>0</v>
      </c>
      <c r="EM37" s="14">
        <v>0</v>
      </c>
      <c r="EN37" s="14">
        <v>0</v>
      </c>
      <c r="EO37" s="14">
        <v>0</v>
      </c>
      <c r="EP37" s="14">
        <v>0</v>
      </c>
      <c r="EQ37" s="14">
        <v>0</v>
      </c>
      <c r="ER37" s="14">
        <v>0</v>
      </c>
      <c r="ES37" s="14">
        <v>0</v>
      </c>
      <c r="ET37" s="14">
        <v>0</v>
      </c>
      <c r="EU37" s="14">
        <v>0</v>
      </c>
      <c r="EV37" s="14">
        <v>0</v>
      </c>
      <c r="EW37" s="14">
        <v>0</v>
      </c>
      <c r="EX37" s="14">
        <v>0</v>
      </c>
      <c r="EY37" s="14">
        <v>0</v>
      </c>
      <c r="EZ37" s="14">
        <v>0</v>
      </c>
      <c r="FA37" s="14">
        <v>0</v>
      </c>
      <c r="FB37" s="14">
        <v>0</v>
      </c>
      <c r="FC37" s="14">
        <v>0</v>
      </c>
      <c r="FD37" s="14">
        <v>0</v>
      </c>
      <c r="FE37" s="14">
        <v>0</v>
      </c>
      <c r="FF37" s="14">
        <v>0</v>
      </c>
      <c r="FG37" s="14">
        <v>0</v>
      </c>
      <c r="FH37" s="14">
        <v>0</v>
      </c>
      <c r="FI37" s="14">
        <v>0</v>
      </c>
      <c r="FJ37" s="14">
        <v>0</v>
      </c>
      <c r="FK37" s="14">
        <v>0</v>
      </c>
      <c r="FL37" s="14">
        <v>0</v>
      </c>
      <c r="FM37" s="14">
        <v>0</v>
      </c>
      <c r="FN37" s="14">
        <v>0</v>
      </c>
      <c r="FO37" s="14">
        <v>0</v>
      </c>
      <c r="FP37" s="14">
        <v>0</v>
      </c>
      <c r="FQ37" s="14">
        <v>0</v>
      </c>
      <c r="FR37" s="14">
        <v>0</v>
      </c>
      <c r="FS37" s="14">
        <v>0</v>
      </c>
      <c r="FT37" s="14">
        <v>0</v>
      </c>
      <c r="FU37" s="14">
        <v>0</v>
      </c>
      <c r="FV37" s="14">
        <v>0</v>
      </c>
      <c r="FW37" s="14">
        <v>0</v>
      </c>
      <c r="FX37" s="14">
        <v>0</v>
      </c>
      <c r="FY37" s="14">
        <v>0</v>
      </c>
      <c r="FZ37" s="14">
        <v>0</v>
      </c>
      <c r="GA37" s="14">
        <v>0</v>
      </c>
      <c r="GB37" s="14">
        <v>0</v>
      </c>
      <c r="GC37" s="14">
        <v>0</v>
      </c>
      <c r="GD37" s="14">
        <v>0</v>
      </c>
      <c r="GE37" s="14">
        <v>0</v>
      </c>
      <c r="GF37" s="14">
        <v>0</v>
      </c>
      <c r="GG37" s="14">
        <v>0</v>
      </c>
      <c r="GH37" s="14">
        <v>0</v>
      </c>
      <c r="GI37" s="14">
        <v>0</v>
      </c>
      <c r="GJ37" s="14">
        <v>0</v>
      </c>
      <c r="GK37" s="14">
        <v>0</v>
      </c>
      <c r="GL37" s="14">
        <v>0</v>
      </c>
      <c r="GM37" s="14">
        <v>0</v>
      </c>
      <c r="GN37" s="14">
        <v>0</v>
      </c>
      <c r="GO37" s="14">
        <v>0</v>
      </c>
      <c r="GP37" s="14">
        <v>0</v>
      </c>
      <c r="GQ37" s="14">
        <v>0</v>
      </c>
      <c r="GR37" s="14">
        <v>0</v>
      </c>
      <c r="GS37" s="14">
        <v>0</v>
      </c>
      <c r="GT37" s="14">
        <v>0</v>
      </c>
      <c r="GU37" s="14">
        <v>0</v>
      </c>
      <c r="GV37" s="14">
        <v>1.522</v>
      </c>
      <c r="GW37" s="14">
        <v>0.96099999999999997</v>
      </c>
      <c r="GX37" s="14">
        <v>1.163</v>
      </c>
      <c r="GY37" s="14">
        <v>1.5489999999999999</v>
      </c>
      <c r="GZ37" s="14">
        <v>1.8080000000000001</v>
      </c>
      <c r="HA37" s="14">
        <v>1.5129999999999999</v>
      </c>
      <c r="HB37" s="14">
        <v>1.079</v>
      </c>
      <c r="HC37" s="14">
        <v>0.64</v>
      </c>
      <c r="HD37" s="14">
        <v>0.74399999999999999</v>
      </c>
      <c r="HE37" s="14">
        <v>0.755</v>
      </c>
      <c r="HF37" s="14">
        <v>0.69799999999999995</v>
      </c>
      <c r="HG37" s="14">
        <v>0.873</v>
      </c>
      <c r="HH37" s="14">
        <v>0.65900000000000003</v>
      </c>
      <c r="HI37" s="14">
        <v>0.52400000000000002</v>
      </c>
      <c r="HJ37" s="14">
        <v>0.67800000000000005</v>
      </c>
      <c r="HK37" s="14">
        <v>1.1020000000000001</v>
      </c>
      <c r="HL37" s="14">
        <v>1.325</v>
      </c>
      <c r="HM37" s="14">
        <v>1.292</v>
      </c>
      <c r="HN37" s="14">
        <v>1.7230000000000001</v>
      </c>
      <c r="HO37" s="14">
        <v>1.5960000000000001</v>
      </c>
      <c r="HP37" s="14">
        <v>1.5149999999999999</v>
      </c>
      <c r="HQ37" s="14">
        <v>1.151</v>
      </c>
      <c r="HR37" s="14">
        <v>0.80500000000000005</v>
      </c>
      <c r="HS37" s="14">
        <v>1.282</v>
      </c>
      <c r="HT37" s="14">
        <v>1.08</v>
      </c>
      <c r="HU37" s="14">
        <v>1.232</v>
      </c>
      <c r="HV37" s="14">
        <v>2.0030000000000001</v>
      </c>
      <c r="HW37" s="14">
        <v>1.387</v>
      </c>
      <c r="HX37" s="14">
        <v>1.536</v>
      </c>
      <c r="HY37" s="14">
        <v>1.9450000000000001</v>
      </c>
      <c r="HZ37" s="14">
        <v>1.302</v>
      </c>
      <c r="IA37" s="14">
        <v>2.41</v>
      </c>
      <c r="IB37" s="14">
        <v>2.262</v>
      </c>
      <c r="IC37" s="14">
        <v>3.5826657700000015</v>
      </c>
      <c r="ID37" s="14">
        <v>1.45010185</v>
      </c>
      <c r="IE37" s="14">
        <v>3.5362829300000009</v>
      </c>
      <c r="IF37" s="14">
        <v>3.997177210000002</v>
      </c>
      <c r="IG37" s="14">
        <v>4.4784759000000021</v>
      </c>
      <c r="IH37" s="14">
        <v>3.7424687400000023</v>
      </c>
      <c r="II37" s="14">
        <v>4.0812132300000012</v>
      </c>
      <c r="IJ37" s="14">
        <v>5.1203665899999979</v>
      </c>
      <c r="IK37" s="14">
        <v>3.9250821200000012</v>
      </c>
      <c r="IL37" s="14">
        <v>3.9217968099999996</v>
      </c>
      <c r="IM37" s="14">
        <v>4.7525063200000011</v>
      </c>
      <c r="IN37" s="14">
        <v>3.7582415700000031</v>
      </c>
      <c r="IO37" s="14">
        <v>6.491475420000004</v>
      </c>
      <c r="IP37" s="14">
        <v>5.3083347799999991</v>
      </c>
      <c r="IQ37" s="14">
        <v>3.4951139799999988</v>
      </c>
      <c r="IR37" s="14">
        <v>5.1662729700000014</v>
      </c>
      <c r="IS37" s="14">
        <v>4.8902386600000014</v>
      </c>
      <c r="IT37" s="14">
        <v>4.9198008999999931</v>
      </c>
      <c r="IU37" s="14">
        <v>4.5954566700000026</v>
      </c>
      <c r="IV37" s="14">
        <v>5.3558286799999983</v>
      </c>
      <c r="IW37" s="14">
        <v>5.6762310099999986</v>
      </c>
      <c r="IX37" s="14">
        <v>6.1008879699999996</v>
      </c>
      <c r="IY37" s="14">
        <v>4.6640572100000002</v>
      </c>
      <c r="IZ37" s="14">
        <v>4.6995095599999965</v>
      </c>
      <c r="JA37" s="14">
        <v>4.7992794900000009</v>
      </c>
      <c r="JB37" s="14">
        <v>4.8252385999999996</v>
      </c>
      <c r="JC37" s="14">
        <v>4.2589628800000012</v>
      </c>
      <c r="JD37" s="14">
        <v>5.8978749299999986</v>
      </c>
      <c r="JE37" s="14">
        <v>4.3101318100000015</v>
      </c>
      <c r="JF37" s="14">
        <v>4.1972778000000002</v>
      </c>
      <c r="JG37" s="14">
        <v>3.8910012299999996</v>
      </c>
      <c r="JH37" s="14">
        <v>4.3737270600000002</v>
      </c>
      <c r="JI37" s="14">
        <v>4.01726881</v>
      </c>
      <c r="JJ37" s="14">
        <v>4.51238911</v>
      </c>
      <c r="JK37" s="14">
        <v>3.5479218100000014</v>
      </c>
      <c r="JL37" s="14">
        <v>2.3906556099999983</v>
      </c>
      <c r="JM37" s="14">
        <v>4.1242717200000003</v>
      </c>
      <c r="JN37" s="14">
        <v>4.2685854580000022</v>
      </c>
      <c r="JO37" s="14">
        <v>4.3558272730000018</v>
      </c>
      <c r="JP37" s="14">
        <v>4.4954503609999996</v>
      </c>
      <c r="JQ37" s="14">
        <v>2.8081733406202547</v>
      </c>
      <c r="JR37" s="14">
        <v>3.8989158837990292</v>
      </c>
      <c r="JS37" s="14">
        <v>3.5226498889970497</v>
      </c>
      <c r="JT37" s="14">
        <v>2.7016176793294497</v>
      </c>
      <c r="JU37" s="14">
        <v>4.1085082427233264</v>
      </c>
      <c r="JV37" s="14">
        <v>3.6452280396415695</v>
      </c>
      <c r="JW37" s="14">
        <v>3.0113992627274468</v>
      </c>
      <c r="JX37" s="14">
        <v>2.9351070885352368</v>
      </c>
      <c r="JY37" s="14">
        <v>2.795298882157069</v>
      </c>
      <c r="JZ37" s="14">
        <v>4.2659614745383347</v>
      </c>
      <c r="KA37" s="14">
        <v>3.9761453669999991</v>
      </c>
      <c r="KB37" s="14">
        <v>3.3694888149999995</v>
      </c>
      <c r="KC37" s="14">
        <v>3.5465529712579373</v>
      </c>
      <c r="KD37" s="14">
        <v>2.8372410680971529</v>
      </c>
      <c r="KE37" s="14">
        <v>3.2936907971617195</v>
      </c>
      <c r="KF37" s="14">
        <v>2.5223144980000001</v>
      </c>
      <c r="KG37" s="14">
        <v>2.9168473735364273</v>
      </c>
      <c r="KH37" s="14">
        <v>3.5492603807114822</v>
      </c>
      <c r="KI37" s="14">
        <v>4.072911841999999</v>
      </c>
      <c r="KJ37" s="14">
        <v>3.1008385980000002</v>
      </c>
      <c r="KK37" s="14">
        <v>3.2806934840000008</v>
      </c>
      <c r="KL37" s="14">
        <v>2.3199776779999999</v>
      </c>
      <c r="KM37" s="14">
        <v>4.6710650719999993</v>
      </c>
      <c r="KN37" s="14">
        <v>3.8387464579999993</v>
      </c>
      <c r="KO37" s="14">
        <v>3.2974436144038961</v>
      </c>
      <c r="KP37" s="14">
        <v>4.2827302830000011</v>
      </c>
      <c r="KQ37" s="14">
        <v>3.1029571479999993</v>
      </c>
      <c r="KR37" s="14">
        <v>3.447954642</v>
      </c>
      <c r="KS37" s="14">
        <v>3.1804777140000007</v>
      </c>
      <c r="KT37" s="14">
        <v>4.6304297217519119</v>
      </c>
      <c r="KU37" s="14">
        <v>3.7908728254971855</v>
      </c>
      <c r="KV37" s="14">
        <v>4.2531920199999966</v>
      </c>
      <c r="KW37" s="14">
        <v>3.1650173773881938</v>
      </c>
      <c r="KX37" s="14">
        <v>3.2825244529999957</v>
      </c>
      <c r="KY37" s="14">
        <v>4.4688186340891445</v>
      </c>
      <c r="KZ37" s="14">
        <v>4.9633919239999988</v>
      </c>
      <c r="LA37" s="14">
        <v>6.3827071720773949</v>
      </c>
      <c r="LB37" s="14">
        <v>5.3728893580000001</v>
      </c>
      <c r="LC37" s="14">
        <v>2.8193899763043189</v>
      </c>
      <c r="LD37" s="14">
        <v>3.2091349485718355</v>
      </c>
      <c r="LE37" s="14">
        <v>4.986210177546968</v>
      </c>
      <c r="LF37" s="14">
        <v>3.6198818021827059</v>
      </c>
      <c r="LG37" s="14">
        <v>4.306418353277194</v>
      </c>
      <c r="LH37" s="14">
        <v>4.5086816186796401</v>
      </c>
      <c r="LI37" s="14">
        <v>5.3633989144649199</v>
      </c>
      <c r="LJ37" s="14">
        <v>4.8852499914033771</v>
      </c>
      <c r="LK37" s="14">
        <v>5.3943125669104024</v>
      </c>
      <c r="LL37" s="14">
        <v>4.98512742855723</v>
      </c>
      <c r="LM37" s="14">
        <v>6.1570963994502215</v>
      </c>
      <c r="LN37" s="14">
        <v>7.0155839645927323</v>
      </c>
      <c r="LO37" s="14">
        <v>5.1992506299999981</v>
      </c>
      <c r="LP37" s="14">
        <v>5.0027773899999985</v>
      </c>
      <c r="LQ37" s="14">
        <v>5.0633357999999973</v>
      </c>
      <c r="LR37" s="14">
        <v>3.7992652299999974</v>
      </c>
      <c r="LS37" s="14">
        <v>5.4649430000000052</v>
      </c>
      <c r="LT37" s="14">
        <v>5.5900985599999968</v>
      </c>
      <c r="LU37" s="149"/>
    </row>
    <row r="38" spans="1:333" x14ac:dyDescent="0.3">
      <c r="A38" s="21" t="s">
        <v>28</v>
      </c>
      <c r="B38" s="21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4">
        <v>0</v>
      </c>
      <c r="CJ38" s="14">
        <v>0</v>
      </c>
      <c r="CK38" s="14">
        <v>0</v>
      </c>
      <c r="CL38" s="14">
        <v>0</v>
      </c>
      <c r="CM38" s="14">
        <v>0</v>
      </c>
      <c r="CN38" s="14">
        <v>0</v>
      </c>
      <c r="CO38" s="14">
        <v>0</v>
      </c>
      <c r="CP38" s="14">
        <v>0</v>
      </c>
      <c r="CQ38" s="14">
        <v>0</v>
      </c>
      <c r="CR38" s="14">
        <v>0</v>
      </c>
      <c r="CS38" s="14">
        <v>0</v>
      </c>
      <c r="CT38" s="14">
        <v>0</v>
      </c>
      <c r="CU38" s="14">
        <v>0</v>
      </c>
      <c r="CV38" s="14">
        <v>0</v>
      </c>
      <c r="CW38" s="14">
        <v>0</v>
      </c>
      <c r="CX38" s="14">
        <v>0</v>
      </c>
      <c r="CY38" s="14">
        <v>0</v>
      </c>
      <c r="CZ38" s="14">
        <v>0</v>
      </c>
      <c r="DA38" s="14">
        <v>0</v>
      </c>
      <c r="DB38" s="14">
        <v>0</v>
      </c>
      <c r="DC38" s="14">
        <v>0</v>
      </c>
      <c r="DD38" s="14">
        <v>0</v>
      </c>
      <c r="DE38" s="14">
        <v>0</v>
      </c>
      <c r="DF38" s="14">
        <v>0</v>
      </c>
      <c r="DG38" s="14">
        <v>0</v>
      </c>
      <c r="DH38" s="14">
        <v>0</v>
      </c>
      <c r="DI38" s="14">
        <v>0</v>
      </c>
      <c r="DJ38" s="14">
        <v>0</v>
      </c>
      <c r="DK38" s="14">
        <v>0</v>
      </c>
      <c r="DL38" s="14">
        <v>0</v>
      </c>
      <c r="DM38" s="14">
        <v>0</v>
      </c>
      <c r="DN38" s="14">
        <v>0</v>
      </c>
      <c r="DO38" s="14">
        <v>0</v>
      </c>
      <c r="DP38" s="14">
        <v>0</v>
      </c>
      <c r="DQ38" s="14">
        <v>0</v>
      </c>
      <c r="DR38" s="14">
        <v>0</v>
      </c>
      <c r="DS38" s="14">
        <v>0</v>
      </c>
      <c r="DT38" s="14">
        <v>0</v>
      </c>
      <c r="DU38" s="14">
        <v>0</v>
      </c>
      <c r="DV38" s="14">
        <v>0</v>
      </c>
      <c r="DW38" s="14">
        <v>0</v>
      </c>
      <c r="DX38" s="14">
        <v>0</v>
      </c>
      <c r="DY38" s="14">
        <v>0</v>
      </c>
      <c r="DZ38" s="14">
        <v>0</v>
      </c>
      <c r="EA38" s="14">
        <v>0</v>
      </c>
      <c r="EB38" s="14">
        <v>0</v>
      </c>
      <c r="EC38" s="14">
        <v>0</v>
      </c>
      <c r="ED38" s="14">
        <v>0</v>
      </c>
      <c r="EE38" s="14">
        <v>0</v>
      </c>
      <c r="EF38" s="14">
        <v>0</v>
      </c>
      <c r="EG38" s="14">
        <v>0</v>
      </c>
      <c r="EH38" s="14">
        <v>0</v>
      </c>
      <c r="EI38" s="14">
        <v>0</v>
      </c>
      <c r="EJ38" s="14">
        <v>0</v>
      </c>
      <c r="EK38" s="14">
        <v>0</v>
      </c>
      <c r="EL38" s="14">
        <v>0</v>
      </c>
      <c r="EM38" s="14">
        <v>0</v>
      </c>
      <c r="EN38" s="14">
        <v>0</v>
      </c>
      <c r="EO38" s="14">
        <v>0</v>
      </c>
      <c r="EP38" s="14">
        <v>0</v>
      </c>
      <c r="EQ38" s="14">
        <v>0</v>
      </c>
      <c r="ER38" s="14">
        <v>0</v>
      </c>
      <c r="ES38" s="14">
        <v>0</v>
      </c>
      <c r="ET38" s="14">
        <v>0</v>
      </c>
      <c r="EU38" s="14">
        <v>0</v>
      </c>
      <c r="EV38" s="14">
        <v>0</v>
      </c>
      <c r="EW38" s="14">
        <v>0</v>
      </c>
      <c r="EX38" s="14">
        <v>0</v>
      </c>
      <c r="EY38" s="14">
        <v>0</v>
      </c>
      <c r="EZ38" s="14">
        <v>0</v>
      </c>
      <c r="FA38" s="14">
        <v>0</v>
      </c>
      <c r="FB38" s="14">
        <v>0</v>
      </c>
      <c r="FC38" s="14">
        <v>0</v>
      </c>
      <c r="FD38" s="14">
        <v>0</v>
      </c>
      <c r="FE38" s="14">
        <v>0</v>
      </c>
      <c r="FF38" s="14">
        <v>0</v>
      </c>
      <c r="FG38" s="14">
        <v>0</v>
      </c>
      <c r="FH38" s="14">
        <v>0</v>
      </c>
      <c r="FI38" s="14">
        <v>0</v>
      </c>
      <c r="FJ38" s="14">
        <v>0</v>
      </c>
      <c r="FK38" s="14">
        <v>0</v>
      </c>
      <c r="FL38" s="14">
        <v>0</v>
      </c>
      <c r="FM38" s="14">
        <v>0</v>
      </c>
      <c r="FN38" s="14">
        <v>0</v>
      </c>
      <c r="FO38" s="14">
        <v>0</v>
      </c>
      <c r="FP38" s="14">
        <v>0</v>
      </c>
      <c r="FQ38" s="14">
        <v>0</v>
      </c>
      <c r="FR38" s="14">
        <v>0</v>
      </c>
      <c r="FS38" s="14">
        <v>0</v>
      </c>
      <c r="FT38" s="14">
        <v>0</v>
      </c>
      <c r="FU38" s="14">
        <v>0</v>
      </c>
      <c r="FV38" s="14">
        <v>0</v>
      </c>
      <c r="FW38" s="14">
        <v>0</v>
      </c>
      <c r="FX38" s="14">
        <v>0</v>
      </c>
      <c r="FY38" s="14">
        <v>0</v>
      </c>
      <c r="FZ38" s="14">
        <v>0</v>
      </c>
      <c r="GA38" s="14">
        <v>0</v>
      </c>
      <c r="GB38" s="14">
        <v>0</v>
      </c>
      <c r="GC38" s="14">
        <v>0</v>
      </c>
      <c r="GD38" s="14">
        <v>0</v>
      </c>
      <c r="GE38" s="14">
        <v>0</v>
      </c>
      <c r="GF38" s="14">
        <v>0</v>
      </c>
      <c r="GG38" s="14">
        <v>0</v>
      </c>
      <c r="GH38" s="14">
        <v>0</v>
      </c>
      <c r="GI38" s="14">
        <v>0</v>
      </c>
      <c r="GJ38" s="14">
        <v>0</v>
      </c>
      <c r="GK38" s="14">
        <v>0</v>
      </c>
      <c r="GL38" s="14">
        <v>0</v>
      </c>
      <c r="GM38" s="14">
        <v>0</v>
      </c>
      <c r="GN38" s="14">
        <v>0</v>
      </c>
      <c r="GO38" s="14">
        <v>0</v>
      </c>
      <c r="GP38" s="14">
        <v>5.6639999999999997</v>
      </c>
      <c r="GQ38" s="14">
        <v>4.1740000000000004</v>
      </c>
      <c r="GR38" s="14">
        <v>2.806</v>
      </c>
      <c r="GS38" s="14">
        <v>1.3340000000000001</v>
      </c>
      <c r="GT38" s="14">
        <v>2.4380000000000002</v>
      </c>
      <c r="GU38" s="14">
        <v>2.0459999999999998</v>
      </c>
      <c r="GV38" s="14">
        <v>2.1150000000000002</v>
      </c>
      <c r="GW38" s="14">
        <v>2.1560000000000001</v>
      </c>
      <c r="GX38" s="14">
        <v>1.9630000000000001</v>
      </c>
      <c r="GY38" s="14">
        <v>3.7949999999999999</v>
      </c>
      <c r="GZ38" s="14">
        <v>3.28</v>
      </c>
      <c r="HA38" s="14">
        <v>1.9790000000000001</v>
      </c>
      <c r="HB38" s="14">
        <v>3.081</v>
      </c>
      <c r="HC38" s="14">
        <v>2.9390000000000001</v>
      </c>
      <c r="HD38" s="14">
        <v>2.8580000000000001</v>
      </c>
      <c r="HE38" s="14">
        <v>2.8</v>
      </c>
      <c r="HF38" s="14">
        <v>2.6680000000000001</v>
      </c>
      <c r="HG38" s="14">
        <v>2.0649999999999999</v>
      </c>
      <c r="HH38" s="14">
        <v>3.4319999999999999</v>
      </c>
      <c r="HI38" s="14">
        <v>2.3290000000000002</v>
      </c>
      <c r="HJ38" s="14">
        <v>3.6419999999999999</v>
      </c>
      <c r="HK38" s="14">
        <v>3.4510000000000001</v>
      </c>
      <c r="HL38" s="14">
        <v>3.2360000000000002</v>
      </c>
      <c r="HM38" s="14">
        <v>2.923</v>
      </c>
      <c r="HN38" s="14">
        <v>2.8519999999999999</v>
      </c>
      <c r="HO38" s="14">
        <v>3.1720000000000002</v>
      </c>
      <c r="HP38" s="14">
        <v>2.2999999999999998</v>
      </c>
      <c r="HQ38" s="14">
        <v>3.0710000000000002</v>
      </c>
      <c r="HR38" s="14">
        <v>2.8690000000000002</v>
      </c>
      <c r="HS38" s="14">
        <v>3.3180000000000001</v>
      </c>
      <c r="HT38" s="14">
        <v>3.073</v>
      </c>
      <c r="HU38" s="14">
        <v>2.944</v>
      </c>
      <c r="HV38" s="14">
        <v>3.6040000000000001</v>
      </c>
      <c r="HW38" s="14">
        <v>2.673</v>
      </c>
      <c r="HX38" s="14">
        <v>1.879</v>
      </c>
      <c r="HY38" s="14">
        <v>3.8140000000000001</v>
      </c>
      <c r="HZ38" s="14">
        <v>2.5790000000000002</v>
      </c>
      <c r="IA38" s="14">
        <v>2.95</v>
      </c>
      <c r="IB38" s="14">
        <v>3.7509999999999999</v>
      </c>
      <c r="IC38" s="14">
        <v>3.6438115000000009</v>
      </c>
      <c r="ID38" s="14">
        <v>4.8685136100000053</v>
      </c>
      <c r="IE38" s="14">
        <v>4.6890409700000015</v>
      </c>
      <c r="IF38" s="14">
        <v>4.3146475999999989</v>
      </c>
      <c r="IG38" s="14">
        <v>5.0941568600000009</v>
      </c>
      <c r="IH38" s="14">
        <v>4.1745713700000042</v>
      </c>
      <c r="II38" s="14">
        <v>4.5303727899999995</v>
      </c>
      <c r="IJ38" s="14">
        <v>4.4861094999999986</v>
      </c>
      <c r="IK38" s="14">
        <v>4.8857637099999982</v>
      </c>
      <c r="IL38" s="14">
        <v>4.7305173900000019</v>
      </c>
      <c r="IM38" s="14">
        <v>5.5392537699999993</v>
      </c>
      <c r="IN38" s="14">
        <v>3.5078802299999987</v>
      </c>
      <c r="IO38" s="14">
        <v>6.1881302099999962</v>
      </c>
      <c r="IP38" s="14">
        <v>5.0796748899999979</v>
      </c>
      <c r="IQ38" s="14">
        <v>4.6012971999999914</v>
      </c>
      <c r="IR38" s="14">
        <v>3.1659431900000001</v>
      </c>
      <c r="IS38" s="14">
        <v>4.4049355699999957</v>
      </c>
      <c r="IT38" s="14">
        <v>4.2669834899999968</v>
      </c>
      <c r="IU38" s="14">
        <v>4.3540700500000016</v>
      </c>
      <c r="IV38" s="14">
        <v>3.8189903299999983</v>
      </c>
      <c r="IW38" s="14">
        <v>3.7794182299999997</v>
      </c>
      <c r="IX38" s="14">
        <v>3.2361718700000002</v>
      </c>
      <c r="IY38" s="14">
        <v>3.5098907099999961</v>
      </c>
      <c r="IZ38" s="14">
        <v>2.4963347600000008</v>
      </c>
      <c r="JA38" s="14">
        <v>7.6098060399999836</v>
      </c>
      <c r="JB38" s="14">
        <v>4.7420079499999988</v>
      </c>
      <c r="JC38" s="14">
        <v>3.0945220900000003</v>
      </c>
      <c r="JD38" s="14">
        <v>4.0115396099999998</v>
      </c>
      <c r="JE38" s="14">
        <v>3.9854320900000011</v>
      </c>
      <c r="JF38" s="14">
        <v>3.3100474299999987</v>
      </c>
      <c r="JG38" s="14">
        <v>3.0446222399999989</v>
      </c>
      <c r="JH38" s="14">
        <v>3.4015306699999996</v>
      </c>
      <c r="JI38" s="14">
        <v>3.5202959500000004</v>
      </c>
      <c r="JJ38" s="14">
        <v>3.5409160100000006</v>
      </c>
      <c r="JK38" s="14">
        <v>4.0251323100000009</v>
      </c>
      <c r="JL38" s="14">
        <v>4.3213421600000004</v>
      </c>
      <c r="JM38" s="14">
        <v>4.7864143648792483</v>
      </c>
      <c r="JN38" s="14">
        <v>5.3189668059999997</v>
      </c>
      <c r="JO38" s="14">
        <v>4.7304829170000025</v>
      </c>
      <c r="JP38" s="14">
        <v>4.7734831980000001</v>
      </c>
      <c r="JQ38" s="14">
        <v>4.9630134530000012</v>
      </c>
      <c r="JR38" s="14">
        <v>4.8268086239999999</v>
      </c>
      <c r="JS38" s="14">
        <v>4.3805802685041355</v>
      </c>
      <c r="JT38" s="14">
        <v>5.7114757357816783</v>
      </c>
      <c r="JU38" s="14">
        <v>4.7686108758643115</v>
      </c>
      <c r="JV38" s="14">
        <v>5.1251462752628028</v>
      </c>
      <c r="JW38" s="14">
        <v>4.2005430759597502</v>
      </c>
      <c r="JX38" s="14">
        <v>4.9526705750865707</v>
      </c>
      <c r="JY38" s="14">
        <v>3.3939253496791273</v>
      </c>
      <c r="JZ38" s="14">
        <v>3.187303199140211</v>
      </c>
      <c r="KA38" s="14">
        <v>3.8448881069080572</v>
      </c>
      <c r="KB38" s="14">
        <v>3.1416952782458916</v>
      </c>
      <c r="KC38" s="14">
        <v>3.3373768331320743</v>
      </c>
      <c r="KD38" s="14">
        <v>3.5793188138241052</v>
      </c>
      <c r="KE38" s="14">
        <v>3.0783945616812254</v>
      </c>
      <c r="KF38" s="14">
        <v>2.9827562135251395</v>
      </c>
      <c r="KG38" s="14">
        <v>3.1882047974825727</v>
      </c>
      <c r="KH38" s="14">
        <v>3.2589880075343136</v>
      </c>
      <c r="KI38" s="14">
        <v>2.8482182250774435</v>
      </c>
      <c r="KJ38" s="14">
        <v>2.8408321581865703</v>
      </c>
      <c r="KK38" s="14">
        <v>2.7608583706106193</v>
      </c>
      <c r="KL38" s="14">
        <v>1.486280212</v>
      </c>
      <c r="KM38" s="14">
        <v>2.4731885862785341</v>
      </c>
      <c r="KN38" s="14">
        <v>0.31310935188949268</v>
      </c>
      <c r="KO38" s="14">
        <v>1.0804433139999998</v>
      </c>
      <c r="KP38" s="14">
        <v>1.1564387730000001</v>
      </c>
      <c r="KQ38" s="14">
        <v>1.2089198259999998</v>
      </c>
      <c r="KR38" s="14">
        <v>1.585457278</v>
      </c>
      <c r="KS38" s="14">
        <v>1.534074705000001</v>
      </c>
      <c r="KT38" s="14">
        <v>1.6118328249999998</v>
      </c>
      <c r="KU38" s="14">
        <v>1.2134200565319799</v>
      </c>
      <c r="KV38" s="14">
        <v>1.6114415680000003</v>
      </c>
      <c r="KW38" s="14">
        <v>1.6473833130000004</v>
      </c>
      <c r="KX38" s="14">
        <v>1.8777813079999992</v>
      </c>
      <c r="KY38" s="14">
        <v>1.6375960429999998</v>
      </c>
      <c r="KZ38" s="14">
        <v>1.6180667450000015</v>
      </c>
      <c r="LA38" s="14">
        <v>2.6669200720000026</v>
      </c>
      <c r="LB38" s="14">
        <v>1.4246128499999997</v>
      </c>
      <c r="LC38" s="14">
        <v>1.1126145996546359</v>
      </c>
      <c r="LD38" s="14">
        <v>1.5054701147115992</v>
      </c>
      <c r="LE38" s="14">
        <v>1.6410059029121911</v>
      </c>
      <c r="LF38" s="14">
        <v>1.1673385965550049</v>
      </c>
      <c r="LG38" s="14">
        <v>1.1606450900893501</v>
      </c>
      <c r="LH38" s="14">
        <v>1.466945449529018</v>
      </c>
      <c r="LI38" s="14">
        <v>1.5117084064435307</v>
      </c>
      <c r="LJ38" s="14">
        <v>1.6900954356031153</v>
      </c>
      <c r="LK38" s="14">
        <v>1.2574879898005631</v>
      </c>
      <c r="LL38" s="14">
        <v>1.1709290353511748</v>
      </c>
      <c r="LM38" s="14">
        <v>1.1205678481390164</v>
      </c>
      <c r="LN38" s="14">
        <v>1.3022141738910253</v>
      </c>
      <c r="LO38" s="14">
        <v>1.0711731299999998</v>
      </c>
      <c r="LP38" s="14">
        <v>1.4765297499999992</v>
      </c>
      <c r="LQ38" s="14">
        <v>1.1754237900000002</v>
      </c>
      <c r="LR38" s="14">
        <v>1.1232024399999996</v>
      </c>
      <c r="LS38" s="14">
        <v>1.2746317899999999</v>
      </c>
      <c r="LT38" s="14">
        <v>1.0878100800000003</v>
      </c>
      <c r="LU38" s="149"/>
    </row>
    <row r="39" spans="1:333" x14ac:dyDescent="0.3">
      <c r="A39" s="2" t="s">
        <v>29</v>
      </c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4">
        <v>0.36799999999999999</v>
      </c>
      <c r="CJ39" s="14">
        <v>0.25600000000000001</v>
      </c>
      <c r="CK39" s="14">
        <v>7.3999999999999996E-2</v>
      </c>
      <c r="CL39" s="14">
        <v>0.14100000000000001</v>
      </c>
      <c r="CM39" s="14">
        <v>0.23800000000000002</v>
      </c>
      <c r="CN39" s="14">
        <v>0.183</v>
      </c>
      <c r="CO39" s="14">
        <v>0.13900000000000001</v>
      </c>
      <c r="CP39" s="14">
        <v>0.442</v>
      </c>
      <c r="CQ39" s="14">
        <v>0.504</v>
      </c>
      <c r="CR39" s="14">
        <v>5.3999999999999999E-2</v>
      </c>
      <c r="CS39" s="14">
        <v>0.80100000000000005</v>
      </c>
      <c r="CT39" s="14">
        <v>0.65800000000000003</v>
      </c>
      <c r="CU39" s="14">
        <v>0.25700000000000001</v>
      </c>
      <c r="CV39" s="14">
        <v>0.111</v>
      </c>
      <c r="CW39" s="14">
        <v>0.128</v>
      </c>
      <c r="CX39" s="14">
        <v>5.8000000000000003E-2</v>
      </c>
      <c r="CY39" s="14">
        <v>1.4E-2</v>
      </c>
      <c r="CZ39" s="14">
        <v>0.49630200000000002</v>
      </c>
      <c r="DA39" s="14">
        <v>5.8000000000000003E-2</v>
      </c>
      <c r="DB39" s="14">
        <v>1.7000000000000001E-2</v>
      </c>
      <c r="DC39" s="14">
        <v>0.57200000000000006</v>
      </c>
      <c r="DD39" s="14">
        <v>0.11900000000000001</v>
      </c>
      <c r="DE39" s="14">
        <v>0.53600000000000003</v>
      </c>
      <c r="DF39" s="14">
        <v>0.30099999999999999</v>
      </c>
      <c r="DG39" s="14">
        <v>0.30099999999999999</v>
      </c>
      <c r="DH39" s="14">
        <v>0.433</v>
      </c>
      <c r="DI39" s="14">
        <v>1.4E-2</v>
      </c>
      <c r="DJ39" s="14">
        <v>5.7000000000000002E-2</v>
      </c>
      <c r="DK39" s="14">
        <v>3.1E-2</v>
      </c>
      <c r="DL39" s="14">
        <v>5.3000000000000005E-2</v>
      </c>
      <c r="DM39" s="14">
        <v>9.0999999999999998E-2</v>
      </c>
      <c r="DN39" s="14">
        <v>0.1</v>
      </c>
      <c r="DO39" s="14">
        <v>7.0000000000000007E-2</v>
      </c>
      <c r="DP39" s="14">
        <v>0.11800000000000001</v>
      </c>
      <c r="DQ39" s="14">
        <v>0.66</v>
      </c>
      <c r="DR39" s="14">
        <v>0.14100000000000001</v>
      </c>
      <c r="DS39" s="14">
        <v>0.71599999999999997</v>
      </c>
      <c r="DT39" s="14">
        <v>0.65900000000000003</v>
      </c>
      <c r="DU39" s="14">
        <v>0.29299999999999998</v>
      </c>
      <c r="DV39" s="14">
        <v>0.112</v>
      </c>
      <c r="DW39" s="14">
        <v>0.14699999999999999</v>
      </c>
      <c r="DX39" s="14">
        <v>0.23499999999999999</v>
      </c>
      <c r="DY39" s="14">
        <v>0.36099999999999999</v>
      </c>
      <c r="DZ39" s="14">
        <v>0.16900000000000001</v>
      </c>
      <c r="EA39" s="14">
        <v>0.61499999999999999</v>
      </c>
      <c r="EB39" s="14">
        <v>0.625</v>
      </c>
      <c r="EC39" s="14">
        <v>0.45800000000000002</v>
      </c>
      <c r="ED39" s="14">
        <v>0.36799999999999999</v>
      </c>
      <c r="EE39" s="14">
        <v>0.255</v>
      </c>
      <c r="EF39" s="14">
        <v>0.22600000000000001</v>
      </c>
      <c r="EG39" s="14">
        <v>0.185</v>
      </c>
      <c r="EH39" s="14">
        <v>0.21299999999999999</v>
      </c>
      <c r="EI39" s="14">
        <v>0.22700000000000001</v>
      </c>
      <c r="EJ39" s="14">
        <v>0.29599999999999999</v>
      </c>
      <c r="EK39" s="14">
        <v>0.126</v>
      </c>
      <c r="EL39" s="14">
        <v>0.20799999999999999</v>
      </c>
      <c r="EM39" s="14">
        <v>0.53100000000000003</v>
      </c>
      <c r="EN39" s="14">
        <v>0.36399999999999999</v>
      </c>
      <c r="EO39" s="14">
        <v>0.39400000000000002</v>
      </c>
      <c r="EP39" s="14">
        <v>0.27100000000000002</v>
      </c>
      <c r="EQ39" s="14">
        <v>0.251</v>
      </c>
      <c r="ER39" s="14">
        <v>0.72799999999999998</v>
      </c>
      <c r="ES39" s="14">
        <v>1.0840000000000001</v>
      </c>
      <c r="ET39" s="14">
        <v>0.32900000000000001</v>
      </c>
      <c r="EU39" s="14">
        <v>0.28100000000000003</v>
      </c>
      <c r="EV39" s="14">
        <v>0.32900000000000001</v>
      </c>
      <c r="EW39" s="14">
        <v>0.42099999999999999</v>
      </c>
      <c r="EX39" s="14">
        <v>0.315</v>
      </c>
      <c r="EY39" s="14">
        <v>0.33600000000000002</v>
      </c>
      <c r="EZ39" s="14">
        <v>0.38100000000000001</v>
      </c>
      <c r="FA39" s="14">
        <v>0.56599999999999995</v>
      </c>
      <c r="FB39" s="14">
        <v>0.45700000000000002</v>
      </c>
      <c r="FC39" s="14">
        <v>0.60199999999999998</v>
      </c>
      <c r="FD39" s="14">
        <v>1.2370000000000001</v>
      </c>
      <c r="FE39" s="14">
        <v>1.202</v>
      </c>
      <c r="FF39" s="14">
        <v>0.53200000000000003</v>
      </c>
      <c r="FG39" s="14">
        <v>0.48499999999999999</v>
      </c>
      <c r="FH39" s="14">
        <v>0.309</v>
      </c>
      <c r="FI39" s="14">
        <v>0.47699999999999998</v>
      </c>
      <c r="FJ39" s="14">
        <v>0.38200000000000001</v>
      </c>
      <c r="FK39" s="14">
        <v>0.38500000000000001</v>
      </c>
      <c r="FL39" s="14">
        <v>0.38700000000000001</v>
      </c>
      <c r="FM39" s="14">
        <v>0.38800000000000001</v>
      </c>
      <c r="FN39" s="14">
        <v>0.29599999999999999</v>
      </c>
      <c r="FO39" s="14">
        <v>0.96</v>
      </c>
      <c r="FP39" s="14">
        <v>0.33200000000000002</v>
      </c>
      <c r="FQ39" s="14">
        <v>0.45700000000000002</v>
      </c>
      <c r="FR39" s="14">
        <v>1.028</v>
      </c>
      <c r="FS39" s="14">
        <v>0.54800000000000004</v>
      </c>
      <c r="FT39" s="14">
        <v>0.45500000000000002</v>
      </c>
      <c r="FU39" s="14">
        <v>0.35</v>
      </c>
      <c r="FV39" s="14">
        <v>0.308</v>
      </c>
      <c r="FW39" s="14">
        <v>0.439</v>
      </c>
      <c r="FX39" s="14">
        <v>0.48099999999999998</v>
      </c>
      <c r="FY39" s="14">
        <v>0.438</v>
      </c>
      <c r="FZ39" s="14">
        <v>0.52600000000000002</v>
      </c>
      <c r="GA39" s="14">
        <v>0.45300000000000001</v>
      </c>
      <c r="GB39" s="14">
        <v>0.46300000000000002</v>
      </c>
      <c r="GC39" s="14">
        <v>0.48499999999999999</v>
      </c>
      <c r="GD39" s="14">
        <v>0.52500000000000002</v>
      </c>
      <c r="GE39" s="14">
        <v>0.32600000000000001</v>
      </c>
      <c r="GF39" s="14">
        <v>0.42399999999999999</v>
      </c>
      <c r="GG39" s="14">
        <v>0.57099999999999995</v>
      </c>
      <c r="GH39" s="14">
        <v>0.60499999999999998</v>
      </c>
      <c r="GI39" s="14">
        <v>0.55700000000000005</v>
      </c>
      <c r="GJ39" s="14">
        <v>1.278</v>
      </c>
      <c r="GK39" s="14">
        <v>1.9750000000000001</v>
      </c>
      <c r="GL39" s="14">
        <v>1.325</v>
      </c>
      <c r="GM39" s="14">
        <v>1.123</v>
      </c>
      <c r="GN39" s="14">
        <v>0.74199999999999999</v>
      </c>
      <c r="GO39" s="14">
        <v>0.81699999999999995</v>
      </c>
      <c r="GP39" s="14">
        <v>1.923</v>
      </c>
      <c r="GQ39" s="14">
        <v>1.1739999999999999</v>
      </c>
      <c r="GR39" s="14">
        <v>0.38900000000000001</v>
      </c>
      <c r="GS39" s="14">
        <v>0.53600000000000003</v>
      </c>
      <c r="GT39" s="14">
        <v>0.57699999999999996</v>
      </c>
      <c r="GU39" s="14">
        <v>0.68100000000000005</v>
      </c>
      <c r="GV39" s="14">
        <v>1.377</v>
      </c>
      <c r="GW39" s="14">
        <v>1.655</v>
      </c>
      <c r="GX39" s="14">
        <v>0.63900000000000001</v>
      </c>
      <c r="GY39" s="14">
        <v>1.647</v>
      </c>
      <c r="GZ39" s="14">
        <v>1.3480000000000001</v>
      </c>
      <c r="HA39" s="14">
        <v>1.7569999999999999</v>
      </c>
      <c r="HB39" s="14">
        <v>1.3560000000000001</v>
      </c>
      <c r="HC39" s="14">
        <v>1.915</v>
      </c>
      <c r="HD39" s="14">
        <v>0.876</v>
      </c>
      <c r="HE39" s="14">
        <v>0.68600000000000005</v>
      </c>
      <c r="HF39" s="14">
        <v>0.76700000000000002</v>
      </c>
      <c r="HG39" s="14">
        <v>0.85299999999999998</v>
      </c>
      <c r="HH39" s="14">
        <v>0.998</v>
      </c>
      <c r="HI39" s="14">
        <v>0.82399999999999995</v>
      </c>
      <c r="HJ39" s="14">
        <v>1.0720000000000001</v>
      </c>
      <c r="HK39" s="14">
        <v>1.105</v>
      </c>
      <c r="HL39" s="14">
        <v>0.66</v>
      </c>
      <c r="HM39" s="14">
        <v>0.97899999999999998</v>
      </c>
      <c r="HN39" s="14">
        <v>0.81699999999999995</v>
      </c>
      <c r="HO39" s="14">
        <v>0.89500000000000002</v>
      </c>
      <c r="HP39" s="14">
        <v>1.0049999999999999</v>
      </c>
      <c r="HQ39" s="14">
        <v>0.69299999999999995</v>
      </c>
      <c r="HR39" s="14">
        <v>1.123</v>
      </c>
      <c r="HS39" s="14">
        <v>0.55900000000000005</v>
      </c>
      <c r="HT39" s="14">
        <v>0.46</v>
      </c>
      <c r="HU39" s="14">
        <v>0.50700000000000001</v>
      </c>
      <c r="HV39" s="14">
        <v>0.65500000000000003</v>
      </c>
      <c r="HW39" s="14">
        <v>0.59399999999999997</v>
      </c>
      <c r="HX39" s="14">
        <v>3.6150000000000002</v>
      </c>
      <c r="HY39" s="14">
        <v>0.79800000000000004</v>
      </c>
      <c r="HZ39" s="14">
        <v>1.1950000000000001</v>
      </c>
      <c r="IA39" s="14">
        <v>1.0509999999999999</v>
      </c>
      <c r="IB39" s="14">
        <v>0.873</v>
      </c>
      <c r="IC39" s="14">
        <v>0.82686960000000276</v>
      </c>
      <c r="ID39" s="14">
        <v>0.5268775200000001</v>
      </c>
      <c r="IE39" s="14">
        <v>0.8551213099999998</v>
      </c>
      <c r="IF39" s="14">
        <v>1.0593938599999999</v>
      </c>
      <c r="IG39" s="14">
        <v>1.1003882399999987</v>
      </c>
      <c r="IH39" s="14">
        <v>0.60442034999999994</v>
      </c>
      <c r="II39" s="14">
        <v>0.716783320000001</v>
      </c>
      <c r="IJ39" s="14">
        <v>0.91935798000000168</v>
      </c>
      <c r="IK39" s="14">
        <v>1.2413801700000038</v>
      </c>
      <c r="IL39" s="14">
        <v>1.0071754999999993</v>
      </c>
      <c r="IM39" s="14">
        <v>1.0190466099999984</v>
      </c>
      <c r="IN39" s="14">
        <v>1.8384162000000017</v>
      </c>
      <c r="IO39" s="14">
        <v>0.92621941999999835</v>
      </c>
      <c r="IP39" s="14">
        <v>1.0779295399999989</v>
      </c>
      <c r="IQ39" s="14">
        <v>1.0222045699999978</v>
      </c>
      <c r="IR39" s="14">
        <v>1.0533282399999981</v>
      </c>
      <c r="IS39" s="14">
        <v>1.1985089000000004</v>
      </c>
      <c r="IT39" s="14">
        <v>0.96131307999999782</v>
      </c>
      <c r="IU39" s="14">
        <v>0.98646044999999882</v>
      </c>
      <c r="IV39" s="14">
        <v>1.0643481599999984</v>
      </c>
      <c r="IW39" s="14">
        <v>0.77271062999999962</v>
      </c>
      <c r="IX39" s="14">
        <v>0.73931067000000061</v>
      </c>
      <c r="IY39" s="14">
        <v>1.0722560200000018</v>
      </c>
      <c r="IZ39" s="14">
        <v>1.015999799999999</v>
      </c>
      <c r="JA39" s="14">
        <v>3.6490663799999981</v>
      </c>
      <c r="JB39" s="14">
        <v>1.8219409099999997</v>
      </c>
      <c r="JC39" s="14">
        <v>1.2305217399999984</v>
      </c>
      <c r="JD39" s="14">
        <v>1.4666357400000012</v>
      </c>
      <c r="JE39" s="14">
        <v>1.2559694400000012</v>
      </c>
      <c r="JF39" s="14">
        <v>0.96622450999999976</v>
      </c>
      <c r="JG39" s="14">
        <v>0.9451245799999991</v>
      </c>
      <c r="JH39" s="14">
        <v>1.1510886000000002</v>
      </c>
      <c r="JI39" s="14">
        <v>0.9366283299999989</v>
      </c>
      <c r="JJ39" s="14">
        <v>0.94412950999999956</v>
      </c>
      <c r="JK39" s="14">
        <v>1.21787169</v>
      </c>
      <c r="JL39" s="14">
        <v>0.97105087000000079</v>
      </c>
      <c r="JM39" s="14">
        <v>1.4778952040000002</v>
      </c>
      <c r="JN39" s="14">
        <v>2.0469511350000076</v>
      </c>
      <c r="JO39" s="14">
        <v>1.2662510379999905</v>
      </c>
      <c r="JP39" s="14">
        <v>2.1730767505865085</v>
      </c>
      <c r="JQ39" s="14">
        <v>2.1148218390929396</v>
      </c>
      <c r="JR39" s="14">
        <v>1.6730042456770866</v>
      </c>
      <c r="JS39" s="14">
        <v>2.0167913222710712</v>
      </c>
      <c r="JT39" s="14">
        <v>1.4464833365283587</v>
      </c>
      <c r="JU39" s="14">
        <v>1.5074986189975563</v>
      </c>
      <c r="JV39" s="14">
        <v>1.5159164960404312</v>
      </c>
      <c r="JW39" s="14">
        <v>1.674976371498389</v>
      </c>
      <c r="JX39" s="14">
        <v>1.8564125777283342</v>
      </c>
      <c r="JY39" s="14">
        <v>1.97180247440423</v>
      </c>
      <c r="JZ39" s="14">
        <v>1.9038711263803567</v>
      </c>
      <c r="KA39" s="14">
        <v>4.0021161480992102</v>
      </c>
      <c r="KB39" s="14">
        <v>2.6535183485127147</v>
      </c>
      <c r="KC39" s="14">
        <v>2.1061756004606771</v>
      </c>
      <c r="KD39" s="14">
        <v>3.7517839216953481</v>
      </c>
      <c r="KE39" s="14">
        <v>2.5957534907556159</v>
      </c>
      <c r="KF39" s="14">
        <v>2.2825559630111121</v>
      </c>
      <c r="KG39" s="14">
        <v>2.2323309625669077</v>
      </c>
      <c r="KH39" s="14">
        <v>1.980347943514706</v>
      </c>
      <c r="KI39" s="14">
        <v>2.2518758662882248</v>
      </c>
      <c r="KJ39" s="14">
        <v>4.3636646551336069</v>
      </c>
      <c r="KK39" s="14">
        <v>4.0163047895005786</v>
      </c>
      <c r="KL39" s="14">
        <v>5.7554032137794158</v>
      </c>
      <c r="KM39" s="14">
        <v>4.854045110821346</v>
      </c>
      <c r="KN39" s="14">
        <v>3.2507986399531834</v>
      </c>
      <c r="KO39" s="14">
        <v>2.4246763841890768</v>
      </c>
      <c r="KP39" s="14">
        <v>4.7488325126557953</v>
      </c>
      <c r="KQ39" s="14">
        <v>3.1639529421458765</v>
      </c>
      <c r="KR39" s="14">
        <v>2.3880703539841628</v>
      </c>
      <c r="KS39" s="14">
        <v>3.7210552785292133</v>
      </c>
      <c r="KT39" s="14">
        <v>2.8833210586659761</v>
      </c>
      <c r="KU39" s="14">
        <v>3.1871117499544797</v>
      </c>
      <c r="KV39" s="14">
        <v>2.8084601431028116</v>
      </c>
      <c r="KW39" s="14">
        <v>2.1068660266935764</v>
      </c>
      <c r="KX39" s="14">
        <v>2.6847980799307507</v>
      </c>
      <c r="KY39" s="14">
        <v>2.7861495096449609</v>
      </c>
      <c r="KZ39" s="14">
        <v>1.291007266266472</v>
      </c>
      <c r="LA39" s="14">
        <v>4.9100625585109654</v>
      </c>
      <c r="LB39" s="14">
        <v>2.6190579198721577</v>
      </c>
      <c r="LC39" s="14">
        <v>2.481964814789646</v>
      </c>
      <c r="LD39" s="14">
        <v>4.0991856163377918</v>
      </c>
      <c r="LE39" s="14">
        <v>4.3662641743126711</v>
      </c>
      <c r="LF39" s="14">
        <v>3.1913208379336124</v>
      </c>
      <c r="LG39" s="14">
        <v>3.8371701513525345</v>
      </c>
      <c r="LH39" s="14">
        <v>4.082576460046921</v>
      </c>
      <c r="LI39" s="14">
        <v>3.3337305499061074</v>
      </c>
      <c r="LJ39" s="14">
        <v>4.2214230669472146</v>
      </c>
      <c r="LK39" s="14">
        <v>4.9043005844775118</v>
      </c>
      <c r="LL39" s="14">
        <v>2.5908407853489734</v>
      </c>
      <c r="LM39" s="14">
        <v>3.8030621382780176</v>
      </c>
      <c r="LN39" s="14">
        <v>4.5333013572538983</v>
      </c>
      <c r="LO39" s="14">
        <v>3.8974275899999835</v>
      </c>
      <c r="LP39" s="14">
        <v>2.7478020299999919</v>
      </c>
      <c r="LQ39" s="14">
        <v>2.7394377099999989</v>
      </c>
      <c r="LR39" s="14">
        <v>3.6764832699999968</v>
      </c>
      <c r="LS39" s="14">
        <v>1.9981650199999934</v>
      </c>
      <c r="LT39" s="14">
        <v>2.1725993399999979</v>
      </c>
      <c r="LU39" s="149"/>
    </row>
    <row r="40" spans="1:333" x14ac:dyDescent="0.3">
      <c r="A40" s="20" t="s">
        <v>30</v>
      </c>
      <c r="B40" s="20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4">
        <v>0</v>
      </c>
      <c r="CJ40" s="14">
        <v>0</v>
      </c>
      <c r="CK40" s="14">
        <v>0</v>
      </c>
      <c r="CL40" s="14">
        <v>0</v>
      </c>
      <c r="CM40" s="14">
        <v>0</v>
      </c>
      <c r="CN40" s="14">
        <v>0</v>
      </c>
      <c r="CO40" s="14">
        <v>0</v>
      </c>
      <c r="CP40" s="14">
        <v>0</v>
      </c>
      <c r="CQ40" s="14">
        <v>0</v>
      </c>
      <c r="CR40" s="14">
        <v>0</v>
      </c>
      <c r="CS40" s="14">
        <v>0</v>
      </c>
      <c r="CT40" s="14">
        <v>0</v>
      </c>
      <c r="CU40" s="14">
        <v>0</v>
      </c>
      <c r="CV40" s="14">
        <v>0</v>
      </c>
      <c r="CW40" s="14">
        <v>0</v>
      </c>
      <c r="CX40" s="14">
        <v>0</v>
      </c>
      <c r="CY40" s="14">
        <v>0</v>
      </c>
      <c r="CZ40" s="14">
        <v>0</v>
      </c>
      <c r="DA40" s="14">
        <v>0</v>
      </c>
      <c r="DB40" s="14">
        <v>0</v>
      </c>
      <c r="DC40" s="14">
        <v>0</v>
      </c>
      <c r="DD40" s="14">
        <v>0</v>
      </c>
      <c r="DE40" s="14">
        <v>0</v>
      </c>
      <c r="DF40" s="14">
        <v>0</v>
      </c>
      <c r="DG40" s="14">
        <v>0</v>
      </c>
      <c r="DH40" s="14">
        <v>0</v>
      </c>
      <c r="DI40" s="14">
        <v>0</v>
      </c>
      <c r="DJ40" s="14">
        <v>0</v>
      </c>
      <c r="DK40" s="14">
        <v>0</v>
      </c>
      <c r="DL40" s="14">
        <v>0</v>
      </c>
      <c r="DM40" s="14">
        <v>0</v>
      </c>
      <c r="DN40" s="14">
        <v>0</v>
      </c>
      <c r="DO40" s="14">
        <v>0</v>
      </c>
      <c r="DP40" s="14">
        <v>0</v>
      </c>
      <c r="DQ40" s="14">
        <v>0</v>
      </c>
      <c r="DR40" s="14">
        <v>0</v>
      </c>
      <c r="DS40" s="14">
        <v>0</v>
      </c>
      <c r="DT40" s="14">
        <v>0</v>
      </c>
      <c r="DU40" s="14">
        <v>0</v>
      </c>
      <c r="DV40" s="14">
        <v>0</v>
      </c>
      <c r="DW40" s="14">
        <v>0</v>
      </c>
      <c r="DX40" s="14">
        <v>0</v>
      </c>
      <c r="DY40" s="14">
        <v>0</v>
      </c>
      <c r="DZ40" s="14">
        <v>0</v>
      </c>
      <c r="EA40" s="14">
        <v>7.4999999999999997E-2</v>
      </c>
      <c r="EB40" s="14">
        <v>0</v>
      </c>
      <c r="EC40" s="14">
        <v>0</v>
      </c>
      <c r="ED40" s="14">
        <v>0</v>
      </c>
      <c r="EE40" s="14">
        <v>0</v>
      </c>
      <c r="EF40" s="14">
        <v>0</v>
      </c>
      <c r="EG40" s="14">
        <v>0</v>
      </c>
      <c r="EH40" s="14">
        <v>0</v>
      </c>
      <c r="EI40" s="14">
        <v>0</v>
      </c>
      <c r="EJ40" s="14">
        <v>0</v>
      </c>
      <c r="EK40" s="14">
        <v>0</v>
      </c>
      <c r="EL40" s="14">
        <v>0</v>
      </c>
      <c r="EM40" s="14">
        <v>7.0000000000000001E-3</v>
      </c>
      <c r="EN40" s="14">
        <v>0</v>
      </c>
      <c r="EO40" s="14">
        <v>0</v>
      </c>
      <c r="EP40" s="14">
        <v>0</v>
      </c>
      <c r="EQ40" s="14">
        <v>0</v>
      </c>
      <c r="ER40" s="14">
        <v>0</v>
      </c>
      <c r="ES40" s="14">
        <v>0</v>
      </c>
      <c r="ET40" s="14">
        <v>0</v>
      </c>
      <c r="EU40" s="14">
        <v>0</v>
      </c>
      <c r="EV40" s="14">
        <v>0</v>
      </c>
      <c r="EW40" s="14">
        <v>0</v>
      </c>
      <c r="EX40" s="14">
        <v>0</v>
      </c>
      <c r="EY40" s="14">
        <v>0</v>
      </c>
      <c r="EZ40" s="14">
        <v>0</v>
      </c>
      <c r="FA40" s="14">
        <v>0</v>
      </c>
      <c r="FB40" s="14">
        <v>0</v>
      </c>
      <c r="FC40" s="14">
        <v>0</v>
      </c>
      <c r="FD40" s="14">
        <v>0</v>
      </c>
      <c r="FE40" s="14">
        <v>0</v>
      </c>
      <c r="FF40" s="14">
        <v>0</v>
      </c>
      <c r="FG40" s="14">
        <v>0</v>
      </c>
      <c r="FH40" s="14">
        <v>0</v>
      </c>
      <c r="FI40" s="14">
        <v>0</v>
      </c>
      <c r="FJ40" s="14">
        <v>0</v>
      </c>
      <c r="FK40" s="14">
        <v>0</v>
      </c>
      <c r="FL40" s="14">
        <v>0</v>
      </c>
      <c r="FM40" s="14">
        <v>1.4E-2</v>
      </c>
      <c r="FN40" s="14">
        <v>0</v>
      </c>
      <c r="FO40" s="14">
        <v>0</v>
      </c>
      <c r="FP40" s="14">
        <v>0</v>
      </c>
      <c r="FQ40" s="14">
        <v>0</v>
      </c>
      <c r="FR40" s="14">
        <v>0</v>
      </c>
      <c r="FS40" s="14">
        <v>0</v>
      </c>
      <c r="FT40" s="14">
        <v>0</v>
      </c>
      <c r="FU40" s="14">
        <v>0</v>
      </c>
      <c r="FV40" s="14">
        <v>0</v>
      </c>
      <c r="FW40" s="14">
        <v>0</v>
      </c>
      <c r="FX40" s="14">
        <v>0</v>
      </c>
      <c r="FY40" s="14">
        <v>0</v>
      </c>
      <c r="FZ40" s="14">
        <v>0</v>
      </c>
      <c r="GA40" s="14">
        <v>0</v>
      </c>
      <c r="GB40" s="14">
        <v>2E-3</v>
      </c>
      <c r="GC40" s="14">
        <v>2E-3</v>
      </c>
      <c r="GD40" s="14">
        <v>0</v>
      </c>
      <c r="GE40" s="14">
        <v>0</v>
      </c>
      <c r="GF40" s="14">
        <v>4.0000000000000001E-3</v>
      </c>
      <c r="GG40" s="14">
        <v>1.2999999999999999E-2</v>
      </c>
      <c r="GH40" s="14">
        <v>0</v>
      </c>
      <c r="GI40" s="14">
        <v>0</v>
      </c>
      <c r="GJ40" s="14">
        <v>2.3E-2</v>
      </c>
      <c r="GK40" s="14">
        <v>0</v>
      </c>
      <c r="GL40" s="14">
        <v>0</v>
      </c>
      <c r="GM40" s="14">
        <v>0</v>
      </c>
      <c r="GN40" s="14">
        <v>9.8000000000000004E-2</v>
      </c>
      <c r="GO40" s="14">
        <v>1E-3</v>
      </c>
      <c r="GP40" s="14">
        <v>0</v>
      </c>
      <c r="GQ40" s="14">
        <v>1.2E-2</v>
      </c>
      <c r="GR40" s="14">
        <v>3.0000000000000001E-3</v>
      </c>
      <c r="GS40" s="14">
        <v>4.0000000000000001E-3</v>
      </c>
      <c r="GT40" s="14">
        <v>1E-3</v>
      </c>
      <c r="GU40" s="14">
        <v>0</v>
      </c>
      <c r="GV40" s="14">
        <v>0</v>
      </c>
      <c r="GW40" s="14">
        <v>0</v>
      </c>
      <c r="GX40" s="14">
        <v>0</v>
      </c>
      <c r="GY40" s="14">
        <v>2E-3</v>
      </c>
      <c r="GZ40" s="14">
        <v>2E-3</v>
      </c>
      <c r="HA40" s="14">
        <v>0</v>
      </c>
      <c r="HB40" s="14">
        <v>0</v>
      </c>
      <c r="HC40" s="14">
        <v>0</v>
      </c>
      <c r="HD40" s="14">
        <v>7.0000000000000001E-3</v>
      </c>
      <c r="HE40" s="14">
        <v>0</v>
      </c>
      <c r="HF40" s="14">
        <v>0</v>
      </c>
      <c r="HG40" s="14">
        <v>0</v>
      </c>
      <c r="HH40" s="14">
        <v>0</v>
      </c>
      <c r="HI40" s="14">
        <v>3.6999999999999998E-2</v>
      </c>
      <c r="HJ40" s="14">
        <v>0</v>
      </c>
      <c r="HK40" s="14">
        <v>3.1E-2</v>
      </c>
      <c r="HL40" s="14">
        <v>0</v>
      </c>
      <c r="HM40" s="14">
        <v>0</v>
      </c>
      <c r="HN40" s="14">
        <v>0</v>
      </c>
      <c r="HO40" s="14">
        <v>0</v>
      </c>
      <c r="HP40" s="14">
        <v>0</v>
      </c>
      <c r="HQ40" s="14">
        <v>0</v>
      </c>
      <c r="HR40" s="14">
        <v>0</v>
      </c>
      <c r="HS40" s="14">
        <v>0</v>
      </c>
      <c r="HT40" s="14">
        <v>0</v>
      </c>
      <c r="HU40" s="14">
        <v>0</v>
      </c>
      <c r="HV40" s="14">
        <v>0</v>
      </c>
      <c r="HW40" s="14">
        <v>4.0000000000000001E-3</v>
      </c>
      <c r="HX40" s="14">
        <v>5.8000000000000003E-2</v>
      </c>
      <c r="HY40" s="14">
        <v>2E-3</v>
      </c>
      <c r="HZ40" s="14">
        <v>0</v>
      </c>
      <c r="IA40" s="14">
        <v>1E-3</v>
      </c>
      <c r="IB40" s="14">
        <v>0</v>
      </c>
      <c r="IC40" s="14">
        <v>3.60583E-3</v>
      </c>
      <c r="ID40" s="14">
        <v>1.3512400000000001E-3</v>
      </c>
      <c r="IE40" s="14">
        <v>3.4390850000000001E-2</v>
      </c>
      <c r="IF40" s="14">
        <v>1.214497E-2</v>
      </c>
      <c r="IG40" s="14">
        <v>1.4708000000000001E-4</v>
      </c>
      <c r="IH40" s="14">
        <v>1.7279999999999999E-3</v>
      </c>
      <c r="II40" s="14">
        <v>0</v>
      </c>
      <c r="IJ40" s="14">
        <v>3.55646E-3</v>
      </c>
      <c r="IK40" s="14">
        <v>2.8368599999999997E-2</v>
      </c>
      <c r="IL40" s="14">
        <v>4.0178579999999998E-2</v>
      </c>
      <c r="IM40" s="14">
        <v>5.1133900000000003E-2</v>
      </c>
      <c r="IN40" s="14">
        <v>1.8347680000000002E-2</v>
      </c>
      <c r="IO40" s="14">
        <v>0.117039</v>
      </c>
      <c r="IP40" s="14">
        <v>0.31911947999999996</v>
      </c>
      <c r="IQ40" s="14">
        <v>0.16412950000000001</v>
      </c>
      <c r="IR40" s="14">
        <v>9.5182759999999991E-2</v>
      </c>
      <c r="IS40" s="14">
        <v>3.5583659999999996E-2</v>
      </c>
      <c r="IT40" s="14">
        <v>0</v>
      </c>
      <c r="IU40" s="14">
        <v>0</v>
      </c>
      <c r="IV40" s="14">
        <v>0</v>
      </c>
      <c r="IW40" s="14">
        <v>1.4782E-3</v>
      </c>
      <c r="IX40" s="14">
        <v>0</v>
      </c>
      <c r="IY40" s="14">
        <v>0</v>
      </c>
      <c r="IZ40" s="14">
        <v>0</v>
      </c>
      <c r="JA40" s="14">
        <v>0</v>
      </c>
      <c r="JB40" s="14">
        <v>0</v>
      </c>
      <c r="JC40" s="14">
        <v>5.736E-5</v>
      </c>
      <c r="JD40" s="14">
        <v>1.1237000000000001E-4</v>
      </c>
      <c r="JE40" s="14">
        <v>1.098E-4</v>
      </c>
      <c r="JF40" s="14">
        <v>0</v>
      </c>
      <c r="JG40" s="14">
        <v>0</v>
      </c>
      <c r="JH40" s="14">
        <v>0</v>
      </c>
      <c r="JI40" s="14">
        <v>4.9458999999999994E-4</v>
      </c>
      <c r="JJ40" s="14">
        <v>0</v>
      </c>
      <c r="JK40" s="14">
        <v>1.1759E-4</v>
      </c>
      <c r="JL40" s="14">
        <v>0</v>
      </c>
      <c r="JM40" s="14">
        <v>0</v>
      </c>
      <c r="JN40" s="14">
        <v>0.42425949499999993</v>
      </c>
      <c r="JO40" s="14">
        <v>0.26326312900000004</v>
      </c>
      <c r="JP40" s="14">
        <v>3.3975491521980365E-2</v>
      </c>
      <c r="JQ40" s="14">
        <v>7.606657000000001E-3</v>
      </c>
      <c r="JR40" s="14">
        <v>6.1105851601012508E-3</v>
      </c>
      <c r="JS40" s="14">
        <v>1.6574940000000007E-3</v>
      </c>
      <c r="JT40" s="14">
        <v>2.5180176136202991E-3</v>
      </c>
      <c r="JU40" s="14">
        <v>9.3279348000000012E-2</v>
      </c>
      <c r="JV40" s="14">
        <v>4.4299207504837606E-3</v>
      </c>
      <c r="JW40" s="14">
        <v>1.5345650000000001E-3</v>
      </c>
      <c r="JX40" s="14">
        <v>9.0702530000000003E-3</v>
      </c>
      <c r="JY40" s="14">
        <v>4.9768992184715116E-3</v>
      </c>
      <c r="JZ40" s="14">
        <v>6.6020752000000002E-2</v>
      </c>
      <c r="KA40" s="14">
        <v>0.19656058747888061</v>
      </c>
      <c r="KB40" s="14">
        <v>0.11417442574297397</v>
      </c>
      <c r="KC40" s="14">
        <v>0.82730296197737108</v>
      </c>
      <c r="KD40" s="14">
        <v>1.2844878247174563</v>
      </c>
      <c r="KE40" s="14">
        <v>1.5659187297306472</v>
      </c>
      <c r="KF40" s="14">
        <v>1.448179384362887</v>
      </c>
      <c r="KG40" s="14">
        <v>0.83204161942976063</v>
      </c>
      <c r="KH40" s="14">
        <v>0.78593781344591718</v>
      </c>
      <c r="KI40" s="14">
        <v>0.49235631065849161</v>
      </c>
      <c r="KJ40" s="14">
        <v>0.16123792279464141</v>
      </c>
      <c r="KK40" s="14">
        <v>0.24105946684640392</v>
      </c>
      <c r="KL40" s="14">
        <v>0.21847823067203842</v>
      </c>
      <c r="KM40" s="14">
        <v>1.7625012999999998E-2</v>
      </c>
      <c r="KN40" s="14">
        <v>0.10323719313406231</v>
      </c>
      <c r="KO40" s="14">
        <v>0.10716395100000002</v>
      </c>
      <c r="KP40" s="14">
        <v>1.3450779000000001E-2</v>
      </c>
      <c r="KQ40" s="14">
        <v>0.10642296466974704</v>
      </c>
      <c r="KR40" s="14">
        <v>0.23147549499780842</v>
      </c>
      <c r="KS40" s="14">
        <v>0.30623921591724446</v>
      </c>
      <c r="KT40" s="14">
        <v>2.7629435203962112E-2</v>
      </c>
      <c r="KU40" s="14">
        <v>3.6785766958776535E-2</v>
      </c>
      <c r="KV40" s="14">
        <v>6.4401291890199594E-2</v>
      </c>
      <c r="KW40" s="14">
        <v>6.6321237316375209E-2</v>
      </c>
      <c r="KX40" s="14">
        <v>9.0772180607812288E-3</v>
      </c>
      <c r="KY40" s="14">
        <v>0.12023514780137574</v>
      </c>
      <c r="KZ40" s="14">
        <v>1.3059402524468904E-2</v>
      </c>
      <c r="LA40" s="14">
        <v>2.4870878692381877E-2</v>
      </c>
      <c r="LB40" s="14">
        <v>1.4815899E-2</v>
      </c>
      <c r="LC40" s="14">
        <v>6.2512762762531676E-2</v>
      </c>
      <c r="LD40" s="14">
        <v>0.51719812795274711</v>
      </c>
      <c r="LE40" s="14">
        <v>3.6463515807970609E-2</v>
      </c>
      <c r="LF40" s="14">
        <v>1.0283965934924616E-2</v>
      </c>
      <c r="LG40" s="14">
        <v>0.26390676887553821</v>
      </c>
      <c r="LH40" s="14">
        <v>0.84414630870789698</v>
      </c>
      <c r="LI40" s="14">
        <v>0.73357579867157763</v>
      </c>
      <c r="LJ40" s="14">
        <v>0.36835733564759854</v>
      </c>
      <c r="LK40" s="14">
        <v>0.3843106718544122</v>
      </c>
      <c r="LL40" s="14">
        <v>1.8764381927215256E-2</v>
      </c>
      <c r="LM40" s="14">
        <v>0.3866077139270806</v>
      </c>
      <c r="LN40" s="14">
        <v>0.26228052510384992</v>
      </c>
      <c r="LO40" s="14">
        <v>0.30854914999999983</v>
      </c>
      <c r="LP40" s="14">
        <v>0.32052327999999958</v>
      </c>
      <c r="LQ40" s="14">
        <v>0.44602996999999944</v>
      </c>
      <c r="LR40" s="14">
        <v>0.24123273999999989</v>
      </c>
      <c r="LS40" s="14">
        <v>0.21603179999999989</v>
      </c>
      <c r="LT40" s="14">
        <v>0.16937565999999993</v>
      </c>
      <c r="LU40" s="149"/>
    </row>
    <row r="41" spans="1:333" x14ac:dyDescent="0.3">
      <c r="A41" s="20" t="s">
        <v>31</v>
      </c>
      <c r="B41" s="20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4">
        <v>0</v>
      </c>
      <c r="CJ41" s="14">
        <v>1.1000000000000001E-2</v>
      </c>
      <c r="CK41" s="14">
        <v>1E-3</v>
      </c>
      <c r="CL41" s="14">
        <v>0</v>
      </c>
      <c r="CM41" s="14">
        <v>4.0000000000000001E-3</v>
      </c>
      <c r="CN41" s="14">
        <v>1.1000000000000001E-2</v>
      </c>
      <c r="CO41" s="14">
        <v>0</v>
      </c>
      <c r="CP41" s="14">
        <v>0</v>
      </c>
      <c r="CQ41" s="14">
        <v>0</v>
      </c>
      <c r="CR41" s="14">
        <v>0</v>
      </c>
      <c r="CS41" s="14">
        <v>0</v>
      </c>
      <c r="CT41" s="14">
        <v>0</v>
      </c>
      <c r="CU41" s="14">
        <v>0</v>
      </c>
      <c r="CV41" s="14">
        <v>0</v>
      </c>
      <c r="CW41" s="14">
        <v>0</v>
      </c>
      <c r="CX41" s="14">
        <v>0</v>
      </c>
      <c r="CY41" s="14">
        <v>0</v>
      </c>
      <c r="CZ41" s="14">
        <v>2.5000000000000001E-2</v>
      </c>
      <c r="DA41" s="14">
        <v>2E-3</v>
      </c>
      <c r="DB41" s="14">
        <v>0</v>
      </c>
      <c r="DC41" s="14">
        <v>1.2E-2</v>
      </c>
      <c r="DD41" s="14">
        <v>0.01</v>
      </c>
      <c r="DE41" s="14">
        <v>1E-3</v>
      </c>
      <c r="DF41" s="14">
        <v>8.1000000000000003E-2</v>
      </c>
      <c r="DG41" s="14">
        <v>0</v>
      </c>
      <c r="DH41" s="14">
        <v>0</v>
      </c>
      <c r="DI41" s="14">
        <v>0</v>
      </c>
      <c r="DJ41" s="14">
        <v>1E-3</v>
      </c>
      <c r="DK41" s="14">
        <v>0</v>
      </c>
      <c r="DL41" s="14">
        <v>0</v>
      </c>
      <c r="DM41" s="14">
        <v>1.6E-2</v>
      </c>
      <c r="DN41" s="14">
        <v>2.3E-2</v>
      </c>
      <c r="DO41" s="14">
        <v>1.2E-2</v>
      </c>
      <c r="DP41" s="14">
        <v>9.0000000000000011E-3</v>
      </c>
      <c r="DQ41" s="14">
        <v>0</v>
      </c>
      <c r="DR41" s="14">
        <v>0</v>
      </c>
      <c r="DS41" s="14">
        <v>0.01</v>
      </c>
      <c r="DT41" s="14">
        <v>2.5000000000000001E-2</v>
      </c>
      <c r="DU41" s="14">
        <v>6.0000000000000001E-3</v>
      </c>
      <c r="DV41" s="14">
        <v>0</v>
      </c>
      <c r="DW41" s="14">
        <v>0</v>
      </c>
      <c r="DX41" s="14">
        <v>0</v>
      </c>
      <c r="DY41" s="14">
        <v>0</v>
      </c>
      <c r="DZ41" s="14">
        <v>0</v>
      </c>
      <c r="EA41" s="14">
        <v>0.03</v>
      </c>
      <c r="EB41" s="14">
        <v>0</v>
      </c>
      <c r="EC41" s="14">
        <v>0</v>
      </c>
      <c r="ED41" s="14">
        <v>0</v>
      </c>
      <c r="EE41" s="14">
        <v>0</v>
      </c>
      <c r="EF41" s="14">
        <v>0</v>
      </c>
      <c r="EG41" s="14">
        <v>1.4E-2</v>
      </c>
      <c r="EH41" s="14">
        <v>0.01</v>
      </c>
      <c r="EI41" s="14">
        <v>0.01</v>
      </c>
      <c r="EJ41" s="14">
        <v>0.01</v>
      </c>
      <c r="EK41" s="14">
        <v>1.2999999999999999E-2</v>
      </c>
      <c r="EL41" s="14">
        <v>0</v>
      </c>
      <c r="EM41" s="14">
        <v>2E-3</v>
      </c>
      <c r="EN41" s="14">
        <v>2E-3</v>
      </c>
      <c r="EO41" s="14">
        <v>5.0000000000000001E-3</v>
      </c>
      <c r="EP41" s="14">
        <v>0</v>
      </c>
      <c r="EQ41" s="14">
        <v>2.3E-2</v>
      </c>
      <c r="ER41" s="14">
        <v>2.5000000000000001E-2</v>
      </c>
      <c r="ES41" s="14">
        <v>4.0000000000000001E-3</v>
      </c>
      <c r="ET41" s="14">
        <v>4.0000000000000001E-3</v>
      </c>
      <c r="EU41" s="14">
        <v>5.0000000000000001E-3</v>
      </c>
      <c r="EV41" s="14">
        <v>0</v>
      </c>
      <c r="EW41" s="14">
        <v>4.9000000000000002E-2</v>
      </c>
      <c r="EX41" s="14">
        <v>1.2E-2</v>
      </c>
      <c r="EY41" s="14">
        <v>0</v>
      </c>
      <c r="EZ41" s="14">
        <v>4.0000000000000001E-3</v>
      </c>
      <c r="FA41" s="14">
        <v>6.0000000000000001E-3</v>
      </c>
      <c r="FB41" s="14">
        <v>4.0000000000000001E-3</v>
      </c>
      <c r="FC41" s="14">
        <v>2.4E-2</v>
      </c>
      <c r="FD41" s="14">
        <v>5.0000000000000001E-3</v>
      </c>
      <c r="FE41" s="14">
        <v>0</v>
      </c>
      <c r="FF41" s="14">
        <v>6.0000000000000001E-3</v>
      </c>
      <c r="FG41" s="14">
        <v>0</v>
      </c>
      <c r="FH41" s="14">
        <v>6.0000000000000001E-3</v>
      </c>
      <c r="FI41" s="14">
        <v>4.0000000000000001E-3</v>
      </c>
      <c r="FJ41" s="14">
        <v>0</v>
      </c>
      <c r="FK41" s="14">
        <v>1.7000000000000001E-2</v>
      </c>
      <c r="FL41" s="14">
        <v>1.0999999999999999E-2</v>
      </c>
      <c r="FM41" s="14">
        <v>7.0000000000000001E-3</v>
      </c>
      <c r="FN41" s="14">
        <v>0</v>
      </c>
      <c r="FO41" s="14">
        <v>4.0000000000000001E-3</v>
      </c>
      <c r="FP41" s="14">
        <v>0.01</v>
      </c>
      <c r="FQ41" s="14">
        <v>5.2999999999999999E-2</v>
      </c>
      <c r="FR41" s="14">
        <v>7.0000000000000001E-3</v>
      </c>
      <c r="FS41" s="14">
        <v>0</v>
      </c>
      <c r="FT41" s="14">
        <v>2.4E-2</v>
      </c>
      <c r="FU41" s="14">
        <v>2.5999999999999999E-2</v>
      </c>
      <c r="FV41" s="14">
        <v>4.2999999999999997E-2</v>
      </c>
      <c r="FW41" s="14">
        <v>4.2999999999999997E-2</v>
      </c>
      <c r="FX41" s="14">
        <v>4.8000000000000001E-2</v>
      </c>
      <c r="FY41" s="14">
        <v>2.1999999999999999E-2</v>
      </c>
      <c r="FZ41" s="14">
        <v>2.9000000000000001E-2</v>
      </c>
      <c r="GA41" s="14">
        <v>0.17899999999999999</v>
      </c>
      <c r="GB41" s="14">
        <v>7.3999999999999996E-2</v>
      </c>
      <c r="GC41" s="14">
        <v>8.0000000000000002E-3</v>
      </c>
      <c r="GD41" s="14">
        <v>3.7999999999999999E-2</v>
      </c>
      <c r="GE41" s="14">
        <v>6.9000000000000006E-2</v>
      </c>
      <c r="GF41" s="14">
        <v>3.2000000000000001E-2</v>
      </c>
      <c r="GG41" s="14">
        <v>6.0999999999999999E-2</v>
      </c>
      <c r="GH41" s="14">
        <v>1.2E-2</v>
      </c>
      <c r="GI41" s="14">
        <v>7.0000000000000001E-3</v>
      </c>
      <c r="GJ41" s="14">
        <v>4.2000000000000003E-2</v>
      </c>
      <c r="GK41" s="14">
        <v>0.03</v>
      </c>
      <c r="GL41" s="14">
        <v>1E-3</v>
      </c>
      <c r="GM41" s="14">
        <v>4.0000000000000001E-3</v>
      </c>
      <c r="GN41" s="14">
        <v>0.372</v>
      </c>
      <c r="GO41" s="14">
        <v>0.54700000000000004</v>
      </c>
      <c r="GP41" s="14">
        <v>0.13500000000000001</v>
      </c>
      <c r="GQ41" s="14">
        <v>7.8E-2</v>
      </c>
      <c r="GR41" s="14">
        <v>4.1000000000000002E-2</v>
      </c>
      <c r="GS41" s="14">
        <v>4.3999999999999997E-2</v>
      </c>
      <c r="GT41" s="14">
        <v>8.0000000000000002E-3</v>
      </c>
      <c r="GU41" s="14">
        <v>6.0999999999999999E-2</v>
      </c>
      <c r="GV41" s="14">
        <v>0.95100000000000007</v>
      </c>
      <c r="GW41" s="14">
        <v>0.21299999999999999</v>
      </c>
      <c r="GX41" s="14">
        <v>0.71100000000000008</v>
      </c>
      <c r="GY41" s="14">
        <v>0.57599999999999996</v>
      </c>
      <c r="GZ41" s="14">
        <v>1.1659999999999999</v>
      </c>
      <c r="HA41" s="14">
        <v>0.71399999999999997</v>
      </c>
      <c r="HB41" s="14">
        <v>0.30299999999999999</v>
      </c>
      <c r="HC41" s="14">
        <v>0.63200000000000001</v>
      </c>
      <c r="HD41" s="14">
        <v>0.34400000000000003</v>
      </c>
      <c r="HE41" s="14">
        <v>0.59799999999999998</v>
      </c>
      <c r="HF41" s="14">
        <v>0.52100000000000002</v>
      </c>
      <c r="HG41" s="14">
        <v>0.46200000000000002</v>
      </c>
      <c r="HH41" s="14">
        <v>0.182</v>
      </c>
      <c r="HI41" s="14">
        <v>6.4000000000000001E-2</v>
      </c>
      <c r="HJ41" s="14">
        <v>0.14399999999999999</v>
      </c>
      <c r="HK41" s="14">
        <v>0.13100000000000001</v>
      </c>
      <c r="HL41" s="14">
        <v>0.19400000000000001</v>
      </c>
      <c r="HM41" s="14">
        <v>0.26800000000000002</v>
      </c>
      <c r="HN41" s="14">
        <v>7.3999999999999996E-2</v>
      </c>
      <c r="HO41" s="14">
        <v>0.11799999999999999</v>
      </c>
      <c r="HP41" s="14">
        <v>0.128</v>
      </c>
      <c r="HQ41" s="14">
        <v>3.7999999999999999E-2</v>
      </c>
      <c r="HR41" s="14">
        <v>0.19800000000000001</v>
      </c>
      <c r="HS41" s="14">
        <v>0.253</v>
      </c>
      <c r="HT41" s="14">
        <v>0.152</v>
      </c>
      <c r="HU41" s="14">
        <v>0.3</v>
      </c>
      <c r="HV41" s="14">
        <v>0.252</v>
      </c>
      <c r="HW41" s="14">
        <v>0.14600000000000002</v>
      </c>
      <c r="HX41" s="14">
        <v>3.9E-2</v>
      </c>
      <c r="HY41" s="14">
        <v>4.2999999999999997E-2</v>
      </c>
      <c r="HZ41" s="14">
        <v>5.7999999999999996E-2</v>
      </c>
      <c r="IA41" s="14">
        <v>0.15200000000000002</v>
      </c>
      <c r="IB41" s="14">
        <v>5.8000000000000003E-2</v>
      </c>
      <c r="IC41" s="14">
        <v>9.3313800000000002E-2</v>
      </c>
      <c r="ID41" s="14">
        <v>0.17878011999999999</v>
      </c>
      <c r="IE41" s="14">
        <v>4.598991999999999E-2</v>
      </c>
      <c r="IF41" s="14">
        <v>1.0940689999999999E-2</v>
      </c>
      <c r="IG41" s="14">
        <v>2.8838119999999998E-2</v>
      </c>
      <c r="IH41" s="14">
        <v>2.7822989999999992E-2</v>
      </c>
      <c r="II41" s="14">
        <v>0.14654688999999999</v>
      </c>
      <c r="IJ41" s="14">
        <v>0.32834951000000001</v>
      </c>
      <c r="IK41" s="14">
        <v>0.28496660999999995</v>
      </c>
      <c r="IL41" s="14">
        <v>6.9964300000000007E-2</v>
      </c>
      <c r="IM41" s="14">
        <v>4.9750999999999994E-4</v>
      </c>
      <c r="IN41" s="14">
        <v>1.137821E-2</v>
      </c>
      <c r="IO41" s="14">
        <v>0.65011149999999973</v>
      </c>
      <c r="IP41" s="14">
        <v>0.44586378000000004</v>
      </c>
      <c r="IQ41" s="14">
        <v>1.4081802499999994</v>
      </c>
      <c r="IR41" s="14">
        <v>0.22090525000000003</v>
      </c>
      <c r="IS41" s="14">
        <v>0.76812328999999979</v>
      </c>
      <c r="IT41" s="14">
        <v>0.32776277000000004</v>
      </c>
      <c r="IU41" s="14">
        <v>4.9803599999999996E-3</v>
      </c>
      <c r="IV41" s="14">
        <v>2.988E-4</v>
      </c>
      <c r="IW41" s="14">
        <v>1.0976930000000001E-2</v>
      </c>
      <c r="IX41" s="14">
        <v>0</v>
      </c>
      <c r="IY41" s="14">
        <v>0</v>
      </c>
      <c r="IZ41" s="14">
        <v>0</v>
      </c>
      <c r="JA41" s="14">
        <v>2.5372473200000063</v>
      </c>
      <c r="JB41" s="14">
        <v>7.3382111399999914</v>
      </c>
      <c r="JC41" s="14">
        <v>2.4824436599999973</v>
      </c>
      <c r="JD41" s="14">
        <v>4.795173240000012</v>
      </c>
      <c r="JE41" s="14">
        <v>2.4246787299999957</v>
      </c>
      <c r="JF41" s="14">
        <v>0.46944681000000016</v>
      </c>
      <c r="JG41" s="14">
        <v>0.12204988</v>
      </c>
      <c r="JH41" s="14">
        <v>9.962190000000001E-3</v>
      </c>
      <c r="JI41" s="14">
        <v>2.1033673499999965</v>
      </c>
      <c r="JJ41" s="14">
        <v>3.2773149999999994E-2</v>
      </c>
      <c r="JK41" s="14">
        <v>1.3201033699999993</v>
      </c>
      <c r="JL41" s="14">
        <v>1.7869385100000028</v>
      </c>
      <c r="JM41" s="14">
        <v>1.5574723000000006</v>
      </c>
      <c r="JN41" s="14">
        <v>6.2084471930000253</v>
      </c>
      <c r="JO41" s="14">
        <v>2.8914739490000079</v>
      </c>
      <c r="JP41" s="14">
        <v>5.3308101783045991</v>
      </c>
      <c r="JQ41" s="14">
        <v>8.7703058923872721</v>
      </c>
      <c r="JR41" s="14">
        <v>0.28514516528824563</v>
      </c>
      <c r="JS41" s="14">
        <v>1.7749078434094565</v>
      </c>
      <c r="JT41" s="14">
        <v>0.53351137880506538</v>
      </c>
      <c r="JU41" s="14">
        <v>3.246233421450694</v>
      </c>
      <c r="JV41" s="14">
        <v>1.3621439910889974</v>
      </c>
      <c r="JW41" s="14">
        <v>1.7443099142898046</v>
      </c>
      <c r="JX41" s="14">
        <v>3.6795178190360454</v>
      </c>
      <c r="JY41" s="14">
        <v>7.4550535725501685</v>
      </c>
      <c r="JZ41" s="14">
        <v>5.4926084431245403</v>
      </c>
      <c r="KA41" s="14">
        <v>9.3177433549656765</v>
      </c>
      <c r="KB41" s="14">
        <v>5.0693693573530787</v>
      </c>
      <c r="KC41" s="14">
        <v>2.3445487090940231</v>
      </c>
      <c r="KD41" s="14">
        <v>1.3033456348558123</v>
      </c>
      <c r="KE41" s="14">
        <v>0.73492173947567907</v>
      </c>
      <c r="KF41" s="14">
        <v>2.7618250474826884</v>
      </c>
      <c r="KG41" s="14">
        <v>3.5755822671684014</v>
      </c>
      <c r="KH41" s="14">
        <v>1.5202553832202641</v>
      </c>
      <c r="KI41" s="14">
        <v>0.7273247594251997</v>
      </c>
      <c r="KJ41" s="14">
        <v>0.65070861535920366</v>
      </c>
      <c r="KK41" s="14">
        <v>4.1306988994900422</v>
      </c>
      <c r="KL41" s="14">
        <v>7.6759953323586068</v>
      </c>
      <c r="KM41" s="14">
        <v>4.0984362540000054</v>
      </c>
      <c r="KN41" s="14">
        <v>12.067202407835135</v>
      </c>
      <c r="KO41" s="14">
        <v>7.5954981999999927</v>
      </c>
      <c r="KP41" s="14">
        <v>3.6918701919999992</v>
      </c>
      <c r="KQ41" s="14">
        <v>1.4589762150723895</v>
      </c>
      <c r="KR41" s="14">
        <v>1.1483846560011566</v>
      </c>
      <c r="KS41" s="14">
        <v>3.2258878297885083</v>
      </c>
      <c r="KT41" s="14">
        <v>2.7207291490489114</v>
      </c>
      <c r="KU41" s="14">
        <v>7.8631268889347492</v>
      </c>
      <c r="KV41" s="14">
        <v>7.0112631946324644</v>
      </c>
      <c r="KW41" s="14">
        <v>10.439081265965459</v>
      </c>
      <c r="KX41" s="14">
        <v>9.9966512941552725</v>
      </c>
      <c r="KY41" s="14">
        <v>8.2489952067235759</v>
      </c>
      <c r="KZ41" s="14">
        <v>4.2143096829876354</v>
      </c>
      <c r="LA41" s="14">
        <v>2.6483018877489899</v>
      </c>
      <c r="LB41" s="14">
        <v>0.98899594858003248</v>
      </c>
      <c r="LC41" s="14">
        <v>1.9736532907548761</v>
      </c>
      <c r="LD41" s="14">
        <v>1.3695032997109626</v>
      </c>
      <c r="LE41" s="14">
        <v>3.1092212964740424</v>
      </c>
      <c r="LF41" s="14">
        <v>1.1157691342081835</v>
      </c>
      <c r="LG41" s="14">
        <v>6.0619909435498274</v>
      </c>
      <c r="LH41" s="14">
        <v>5.5759396691674947</v>
      </c>
      <c r="LI41" s="14">
        <v>10.580608626434548</v>
      </c>
      <c r="LJ41" s="14">
        <v>7.6512472057021608</v>
      </c>
      <c r="LK41" s="14">
        <v>10.667808696113012</v>
      </c>
      <c r="LL41" s="14">
        <v>2.6469034775954627</v>
      </c>
      <c r="LM41" s="14">
        <v>5.7355332872315401</v>
      </c>
      <c r="LN41" s="14">
        <v>7.6599469926491599</v>
      </c>
      <c r="LO41" s="14">
        <v>2.9325691499999902</v>
      </c>
      <c r="LP41" s="14">
        <v>2.2035869599999991</v>
      </c>
      <c r="LQ41" s="14">
        <v>3.2163557699999981</v>
      </c>
      <c r="LR41" s="14">
        <v>5.2924334499999901</v>
      </c>
      <c r="LS41" s="14">
        <v>6.1812825299999954</v>
      </c>
      <c r="LT41" s="14">
        <v>11.541123739999934</v>
      </c>
      <c r="LU41" s="149"/>
    </row>
    <row r="42" spans="1:333" x14ac:dyDescent="0.3">
      <c r="A42" s="20" t="s">
        <v>32</v>
      </c>
      <c r="B42" s="20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4">
        <v>0</v>
      </c>
      <c r="CJ42" s="14">
        <v>0</v>
      </c>
      <c r="CK42" s="14">
        <v>0</v>
      </c>
      <c r="CL42" s="14">
        <v>0</v>
      </c>
      <c r="CM42" s="14">
        <v>0</v>
      </c>
      <c r="CN42" s="14">
        <v>0</v>
      </c>
      <c r="CO42" s="14">
        <v>0</v>
      </c>
      <c r="CP42" s="14">
        <v>0</v>
      </c>
      <c r="CQ42" s="14">
        <v>0</v>
      </c>
      <c r="CR42" s="14">
        <v>0</v>
      </c>
      <c r="CS42" s="14">
        <v>0</v>
      </c>
      <c r="CT42" s="14">
        <v>0</v>
      </c>
      <c r="CU42" s="14">
        <v>0</v>
      </c>
      <c r="CV42" s="14">
        <v>0</v>
      </c>
      <c r="CW42" s="14">
        <v>0</v>
      </c>
      <c r="CX42" s="14">
        <v>0</v>
      </c>
      <c r="CY42" s="14">
        <v>0</v>
      </c>
      <c r="CZ42" s="14">
        <v>0</v>
      </c>
      <c r="DA42" s="14">
        <v>0</v>
      </c>
      <c r="DB42" s="14">
        <v>0</v>
      </c>
      <c r="DC42" s="14">
        <v>0</v>
      </c>
      <c r="DD42" s="14">
        <v>0</v>
      </c>
      <c r="DE42" s="14">
        <v>0</v>
      </c>
      <c r="DF42" s="14">
        <v>0</v>
      </c>
      <c r="DG42" s="14">
        <v>0</v>
      </c>
      <c r="DH42" s="14">
        <v>0</v>
      </c>
      <c r="DI42" s="14">
        <v>0</v>
      </c>
      <c r="DJ42" s="14">
        <v>0</v>
      </c>
      <c r="DK42" s="14">
        <v>0</v>
      </c>
      <c r="DL42" s="14">
        <v>0</v>
      </c>
      <c r="DM42" s="14">
        <v>0</v>
      </c>
      <c r="DN42" s="14">
        <v>0</v>
      </c>
      <c r="DO42" s="14">
        <v>0</v>
      </c>
      <c r="DP42" s="14">
        <v>0</v>
      </c>
      <c r="DQ42" s="14">
        <v>0</v>
      </c>
      <c r="DR42" s="14">
        <v>0</v>
      </c>
      <c r="DS42" s="14">
        <v>0</v>
      </c>
      <c r="DT42" s="14">
        <v>0</v>
      </c>
      <c r="DU42" s="14">
        <v>0</v>
      </c>
      <c r="DV42" s="14">
        <v>0</v>
      </c>
      <c r="DW42" s="14">
        <v>0</v>
      </c>
      <c r="DX42" s="14">
        <v>0</v>
      </c>
      <c r="DY42" s="14">
        <v>0</v>
      </c>
      <c r="DZ42" s="14">
        <v>0</v>
      </c>
      <c r="EA42" s="14">
        <v>0</v>
      </c>
      <c r="EB42" s="14">
        <v>0</v>
      </c>
      <c r="EC42" s="14">
        <v>0</v>
      </c>
      <c r="ED42" s="14">
        <v>0</v>
      </c>
      <c r="EE42" s="14">
        <v>0</v>
      </c>
      <c r="EF42" s="14">
        <v>0</v>
      </c>
      <c r="EG42" s="14">
        <v>0</v>
      </c>
      <c r="EH42" s="14">
        <v>0</v>
      </c>
      <c r="EI42" s="14">
        <v>0</v>
      </c>
      <c r="EJ42" s="14">
        <v>0</v>
      </c>
      <c r="EK42" s="14">
        <v>0</v>
      </c>
      <c r="EL42" s="14">
        <v>0</v>
      </c>
      <c r="EM42" s="14">
        <v>0</v>
      </c>
      <c r="EN42" s="14">
        <v>0</v>
      </c>
      <c r="EO42" s="14">
        <v>0</v>
      </c>
      <c r="EP42" s="14">
        <v>0</v>
      </c>
      <c r="EQ42" s="14">
        <v>0</v>
      </c>
      <c r="ER42" s="14">
        <v>0</v>
      </c>
      <c r="ES42" s="14">
        <v>0</v>
      </c>
      <c r="ET42" s="14">
        <v>0</v>
      </c>
      <c r="EU42" s="14">
        <v>0</v>
      </c>
      <c r="EV42" s="14">
        <v>0</v>
      </c>
      <c r="EW42" s="14">
        <v>0</v>
      </c>
      <c r="EX42" s="14">
        <v>0</v>
      </c>
      <c r="EY42" s="14">
        <v>0</v>
      </c>
      <c r="EZ42" s="14">
        <v>0</v>
      </c>
      <c r="FA42" s="14">
        <v>0</v>
      </c>
      <c r="FB42" s="14">
        <v>0</v>
      </c>
      <c r="FC42" s="14">
        <v>0</v>
      </c>
      <c r="FD42" s="14">
        <v>0.434</v>
      </c>
      <c r="FE42" s="14">
        <v>0</v>
      </c>
      <c r="FF42" s="14">
        <v>0</v>
      </c>
      <c r="FG42" s="14">
        <v>0</v>
      </c>
      <c r="FH42" s="14">
        <v>0</v>
      </c>
      <c r="FI42" s="14">
        <v>0</v>
      </c>
      <c r="FJ42" s="14">
        <v>0</v>
      </c>
      <c r="FK42" s="14">
        <v>0</v>
      </c>
      <c r="FL42" s="14">
        <v>0</v>
      </c>
      <c r="FM42" s="14">
        <v>0</v>
      </c>
      <c r="FN42" s="14">
        <v>0</v>
      </c>
      <c r="FO42" s="14">
        <v>0</v>
      </c>
      <c r="FP42" s="14">
        <v>0</v>
      </c>
      <c r="FQ42" s="14">
        <v>0</v>
      </c>
      <c r="FR42" s="14">
        <v>0</v>
      </c>
      <c r="FS42" s="14">
        <v>0</v>
      </c>
      <c r="FT42" s="14">
        <v>0</v>
      </c>
      <c r="FU42" s="14">
        <v>0</v>
      </c>
      <c r="FV42" s="14">
        <v>0</v>
      </c>
      <c r="FW42" s="14">
        <v>0</v>
      </c>
      <c r="FX42" s="14">
        <v>0</v>
      </c>
      <c r="FY42" s="14">
        <v>0</v>
      </c>
      <c r="FZ42" s="14">
        <v>0</v>
      </c>
      <c r="GA42" s="14">
        <v>0</v>
      </c>
      <c r="GB42" s="14">
        <v>0</v>
      </c>
      <c r="GC42" s="14">
        <v>0</v>
      </c>
      <c r="GD42" s="14">
        <v>0</v>
      </c>
      <c r="GE42" s="14">
        <v>0</v>
      </c>
      <c r="GF42" s="14">
        <v>0</v>
      </c>
      <c r="GG42" s="14">
        <v>0</v>
      </c>
      <c r="GH42" s="14">
        <v>0</v>
      </c>
      <c r="GI42" s="14">
        <v>0</v>
      </c>
      <c r="GJ42" s="14">
        <v>0</v>
      </c>
      <c r="GK42" s="14">
        <v>0</v>
      </c>
      <c r="GL42" s="14">
        <v>0</v>
      </c>
      <c r="GM42" s="14">
        <v>0</v>
      </c>
      <c r="GN42" s="14">
        <v>0</v>
      </c>
      <c r="GO42" s="14">
        <v>0</v>
      </c>
      <c r="GP42" s="14">
        <v>0</v>
      </c>
      <c r="GQ42" s="14">
        <v>0</v>
      </c>
      <c r="GR42" s="14">
        <v>0</v>
      </c>
      <c r="GS42" s="14">
        <v>0</v>
      </c>
      <c r="GT42" s="14">
        <v>0</v>
      </c>
      <c r="GU42" s="14">
        <v>0</v>
      </c>
      <c r="GV42" s="14">
        <v>0</v>
      </c>
      <c r="GW42" s="14">
        <v>0</v>
      </c>
      <c r="GX42" s="14">
        <v>0</v>
      </c>
      <c r="GY42" s="14">
        <v>0</v>
      </c>
      <c r="GZ42" s="14">
        <v>0</v>
      </c>
      <c r="HA42" s="14">
        <v>0</v>
      </c>
      <c r="HB42" s="14">
        <v>0</v>
      </c>
      <c r="HC42" s="14">
        <v>0</v>
      </c>
      <c r="HD42" s="14">
        <v>0</v>
      </c>
      <c r="HE42" s="14">
        <v>0</v>
      </c>
      <c r="HF42" s="14">
        <v>0</v>
      </c>
      <c r="HG42" s="14">
        <v>0</v>
      </c>
      <c r="HH42" s="14">
        <v>0</v>
      </c>
      <c r="HI42" s="14">
        <v>0</v>
      </c>
      <c r="HJ42" s="14">
        <v>0</v>
      </c>
      <c r="HK42" s="14">
        <v>0</v>
      </c>
      <c r="HL42" s="14">
        <v>0</v>
      </c>
      <c r="HM42" s="14">
        <v>0</v>
      </c>
      <c r="HN42" s="14">
        <v>0</v>
      </c>
      <c r="HO42" s="14">
        <v>0</v>
      </c>
      <c r="HP42" s="14">
        <v>0</v>
      </c>
      <c r="HQ42" s="14">
        <v>0</v>
      </c>
      <c r="HR42" s="14">
        <v>0</v>
      </c>
      <c r="HS42" s="14">
        <v>0</v>
      </c>
      <c r="HT42" s="14">
        <v>0</v>
      </c>
      <c r="HU42" s="14">
        <v>0</v>
      </c>
      <c r="HV42" s="14">
        <v>0</v>
      </c>
      <c r="HW42" s="14">
        <v>0</v>
      </c>
      <c r="HX42" s="14">
        <v>0</v>
      </c>
      <c r="HY42" s="14">
        <v>0</v>
      </c>
      <c r="HZ42" s="14">
        <v>0</v>
      </c>
      <c r="IA42" s="14">
        <v>0</v>
      </c>
      <c r="IB42" s="14">
        <v>0</v>
      </c>
      <c r="IC42" s="14">
        <v>0</v>
      </c>
      <c r="ID42" s="14">
        <v>0</v>
      </c>
      <c r="IE42" s="14">
        <v>0</v>
      </c>
      <c r="IF42" s="14">
        <v>0</v>
      </c>
      <c r="IG42" s="14">
        <v>0</v>
      </c>
      <c r="IH42" s="14">
        <v>0</v>
      </c>
      <c r="II42" s="14">
        <v>0</v>
      </c>
      <c r="IJ42" s="14">
        <v>0</v>
      </c>
      <c r="IK42" s="14">
        <v>0</v>
      </c>
      <c r="IL42" s="14">
        <v>0</v>
      </c>
      <c r="IM42" s="14">
        <v>0</v>
      </c>
      <c r="IN42" s="14">
        <v>0</v>
      </c>
      <c r="IO42" s="14">
        <v>0</v>
      </c>
      <c r="IP42" s="14">
        <v>0</v>
      </c>
      <c r="IQ42" s="14">
        <v>0</v>
      </c>
      <c r="IR42" s="14">
        <v>0</v>
      </c>
      <c r="IS42" s="14">
        <v>0</v>
      </c>
      <c r="IT42" s="14">
        <v>0</v>
      </c>
      <c r="IU42" s="14">
        <v>0</v>
      </c>
      <c r="IV42" s="14">
        <v>0</v>
      </c>
      <c r="IW42" s="14">
        <v>0</v>
      </c>
      <c r="IX42" s="14">
        <v>0</v>
      </c>
      <c r="IY42" s="14">
        <v>0</v>
      </c>
      <c r="IZ42" s="14">
        <v>0</v>
      </c>
      <c r="JA42" s="14">
        <v>0</v>
      </c>
      <c r="JB42" s="14">
        <v>0</v>
      </c>
      <c r="JC42" s="14">
        <v>0</v>
      </c>
      <c r="JD42" s="14">
        <v>0</v>
      </c>
      <c r="JE42" s="14">
        <v>0</v>
      </c>
      <c r="JF42" s="14">
        <v>0</v>
      </c>
      <c r="JG42" s="14">
        <v>0</v>
      </c>
      <c r="JH42" s="14">
        <v>0</v>
      </c>
      <c r="JI42" s="14">
        <v>0</v>
      </c>
      <c r="JJ42" s="14">
        <v>0</v>
      </c>
      <c r="JK42" s="14">
        <v>0</v>
      </c>
      <c r="JL42" s="14">
        <v>0</v>
      </c>
      <c r="JM42" s="14">
        <v>0</v>
      </c>
      <c r="JN42" s="14">
        <v>0</v>
      </c>
      <c r="JO42" s="14">
        <v>0</v>
      </c>
      <c r="JP42" s="14">
        <v>0</v>
      </c>
      <c r="JQ42" s="14">
        <v>0</v>
      </c>
      <c r="JR42" s="14">
        <v>0</v>
      </c>
      <c r="JS42" s="14">
        <v>0</v>
      </c>
      <c r="JT42" s="14">
        <v>0</v>
      </c>
      <c r="JU42" s="14">
        <v>0</v>
      </c>
      <c r="JV42" s="14">
        <v>0</v>
      </c>
      <c r="JW42" s="14">
        <v>0</v>
      </c>
      <c r="JX42" s="14">
        <v>0</v>
      </c>
      <c r="JY42" s="14">
        <v>0</v>
      </c>
      <c r="JZ42" s="14">
        <v>0</v>
      </c>
      <c r="KA42" s="14">
        <v>0</v>
      </c>
      <c r="KB42" s="14">
        <v>0</v>
      </c>
      <c r="KC42" s="14">
        <v>0</v>
      </c>
      <c r="KD42" s="14">
        <v>0</v>
      </c>
      <c r="KE42" s="14">
        <v>0</v>
      </c>
      <c r="KF42" s="14">
        <v>0</v>
      </c>
      <c r="KG42" s="14">
        <v>0</v>
      </c>
      <c r="KH42" s="14">
        <v>0</v>
      </c>
      <c r="KI42" s="14">
        <v>0</v>
      </c>
      <c r="KJ42" s="14">
        <v>0</v>
      </c>
      <c r="KK42" s="14">
        <v>0</v>
      </c>
      <c r="KL42" s="14">
        <v>0</v>
      </c>
      <c r="KM42" s="14">
        <v>0</v>
      </c>
      <c r="KN42" s="14">
        <v>0</v>
      </c>
      <c r="KO42" s="14">
        <v>0</v>
      </c>
      <c r="KP42" s="14">
        <v>0</v>
      </c>
      <c r="KQ42" s="14">
        <v>0</v>
      </c>
      <c r="KR42" s="14">
        <v>0</v>
      </c>
      <c r="KS42" s="14">
        <v>0</v>
      </c>
      <c r="KT42" s="14">
        <v>0</v>
      </c>
      <c r="KU42" s="14">
        <v>0</v>
      </c>
      <c r="KV42" s="14">
        <v>0</v>
      </c>
      <c r="KW42" s="14">
        <v>0</v>
      </c>
      <c r="KX42" s="14">
        <v>0</v>
      </c>
      <c r="KY42" s="14">
        <v>0</v>
      </c>
      <c r="KZ42" s="14">
        <v>0</v>
      </c>
      <c r="LA42" s="14">
        <v>0</v>
      </c>
      <c r="LB42" s="14">
        <v>0</v>
      </c>
      <c r="LC42" s="14">
        <v>0</v>
      </c>
      <c r="LD42" s="14">
        <v>0</v>
      </c>
      <c r="LE42" s="14">
        <v>0</v>
      </c>
      <c r="LF42" s="14">
        <v>0</v>
      </c>
      <c r="LG42" s="14">
        <v>0</v>
      </c>
      <c r="LH42" s="14">
        <v>0</v>
      </c>
      <c r="LI42" s="14">
        <v>0</v>
      </c>
      <c r="LJ42" s="14">
        <v>0</v>
      </c>
      <c r="LK42" s="14">
        <v>0</v>
      </c>
      <c r="LL42" s="14">
        <v>0</v>
      </c>
      <c r="LM42" s="14">
        <v>0</v>
      </c>
      <c r="LN42" s="14">
        <v>0</v>
      </c>
      <c r="LO42" s="14">
        <v>0</v>
      </c>
      <c r="LP42" s="14">
        <v>0</v>
      </c>
      <c r="LQ42" s="14">
        <v>0</v>
      </c>
      <c r="LR42" s="14">
        <v>0</v>
      </c>
      <c r="LS42" s="14">
        <v>0</v>
      </c>
      <c r="LT42" s="14">
        <v>0</v>
      </c>
      <c r="LU42" s="149"/>
    </row>
    <row r="43" spans="1:333" x14ac:dyDescent="0.3">
      <c r="A43" s="2" t="s">
        <v>33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4">
        <v>0.158</v>
      </c>
      <c r="CJ43" s="14">
        <v>0.107</v>
      </c>
      <c r="CK43" s="14">
        <v>7.0000000000000007E-2</v>
      </c>
      <c r="CL43" s="14">
        <v>3.3000000000000002E-2</v>
      </c>
      <c r="CM43" s="14">
        <v>4.0000000000000001E-3</v>
      </c>
      <c r="CN43" s="14">
        <v>3.1E-2</v>
      </c>
      <c r="CO43" s="14">
        <v>6.5000000000000002E-2</v>
      </c>
      <c r="CP43" s="14">
        <v>1.9E-2</v>
      </c>
      <c r="CQ43" s="14">
        <v>7.2000000000000008E-2</v>
      </c>
      <c r="CR43" s="14">
        <v>0.03</v>
      </c>
      <c r="CS43" s="14">
        <v>5.1000000000000004E-2</v>
      </c>
      <c r="CT43" s="14">
        <v>8.7999999999999995E-2</v>
      </c>
      <c r="CU43" s="14">
        <v>0.15</v>
      </c>
      <c r="CV43" s="14">
        <v>8.1000000000000003E-2</v>
      </c>
      <c r="CW43" s="14">
        <v>0.11</v>
      </c>
      <c r="CX43" s="14">
        <v>8.7000000000000008E-2</v>
      </c>
      <c r="CY43" s="14">
        <v>1.4999999999999999E-2</v>
      </c>
      <c r="CZ43" s="14">
        <v>2.8509E-2</v>
      </c>
      <c r="DA43" s="14">
        <v>0.15</v>
      </c>
      <c r="DB43" s="14">
        <v>0.115</v>
      </c>
      <c r="DC43" s="14">
        <v>0.157</v>
      </c>
      <c r="DD43" s="14">
        <v>0.10100000000000001</v>
      </c>
      <c r="DE43" s="14">
        <v>0.17599999999999999</v>
      </c>
      <c r="DF43" s="14">
        <v>0.27600000000000002</v>
      </c>
      <c r="DG43" s="14">
        <v>0.27600000000000002</v>
      </c>
      <c r="DH43" s="14">
        <v>0.23100000000000001</v>
      </c>
      <c r="DI43" s="14">
        <v>0.14599999999999999</v>
      </c>
      <c r="DJ43" s="14">
        <v>0.214</v>
      </c>
      <c r="DK43" s="14">
        <v>0.18</v>
      </c>
      <c r="DL43" s="14">
        <v>5.5E-2</v>
      </c>
      <c r="DM43" s="14">
        <v>0.1</v>
      </c>
      <c r="DN43" s="14">
        <v>0.17599999999999999</v>
      </c>
      <c r="DO43" s="14">
        <v>0.107</v>
      </c>
      <c r="DP43" s="14">
        <v>8.4000000000000005E-2</v>
      </c>
      <c r="DQ43" s="14">
        <v>0.33900000000000002</v>
      </c>
      <c r="DR43" s="14">
        <v>0.14599999999999999</v>
      </c>
      <c r="DS43" s="14">
        <v>0.115</v>
      </c>
      <c r="DT43" s="14">
        <v>0.20499999999999999</v>
      </c>
      <c r="DU43" s="14">
        <v>8.8999999999999996E-2</v>
      </c>
      <c r="DV43" s="14">
        <v>0.111</v>
      </c>
      <c r="DW43" s="14">
        <v>5.5E-2</v>
      </c>
      <c r="DX43" s="14">
        <v>4.4999999999999998E-2</v>
      </c>
      <c r="DY43" s="14">
        <v>0.13600000000000001</v>
      </c>
      <c r="DZ43" s="14">
        <v>8.5000000000000006E-2</v>
      </c>
      <c r="EA43" s="14">
        <v>5.8000000000000003E-2</v>
      </c>
      <c r="EB43" s="14">
        <v>4.9000000000000002E-2</v>
      </c>
      <c r="EC43" s="14">
        <v>0.16300000000000001</v>
      </c>
      <c r="ED43" s="14">
        <v>0.158</v>
      </c>
      <c r="EE43" s="14">
        <v>0.13800000000000001</v>
      </c>
      <c r="EF43" s="14">
        <v>0.11899999999999999</v>
      </c>
      <c r="EG43" s="14">
        <v>7.6999999999999999E-2</v>
      </c>
      <c r="EH43" s="14">
        <v>0.105</v>
      </c>
      <c r="EI43" s="14">
        <v>6.7000000000000004E-2</v>
      </c>
      <c r="EJ43" s="14">
        <v>7.2999999999999995E-2</v>
      </c>
      <c r="EK43" s="14">
        <v>4.5999999999999999E-2</v>
      </c>
      <c r="EL43" s="14">
        <v>0.121</v>
      </c>
      <c r="EM43" s="14">
        <v>4.8000000000000001E-2</v>
      </c>
      <c r="EN43" s="14">
        <v>0.107</v>
      </c>
      <c r="EO43" s="14">
        <v>0.17399999999999999</v>
      </c>
      <c r="EP43" s="14">
        <v>0.123</v>
      </c>
      <c r="EQ43" s="14">
        <v>0.13900000000000001</v>
      </c>
      <c r="ER43" s="14">
        <v>0.11799999999999999</v>
      </c>
      <c r="ES43" s="14">
        <v>0.189</v>
      </c>
      <c r="ET43" s="14">
        <v>0.14499999999999999</v>
      </c>
      <c r="EU43" s="14">
        <v>0.08</v>
      </c>
      <c r="EV43" s="14">
        <v>0.13700000000000001</v>
      </c>
      <c r="EW43" s="14">
        <v>0.108</v>
      </c>
      <c r="EX43" s="14">
        <v>9.1999999999999998E-2</v>
      </c>
      <c r="EY43" s="14">
        <v>0.22700000000000001</v>
      </c>
      <c r="EZ43" s="14">
        <v>0.19900000000000001</v>
      </c>
      <c r="FA43" s="14">
        <v>0.154</v>
      </c>
      <c r="FB43" s="14">
        <v>0.14000000000000001</v>
      </c>
      <c r="FC43" s="14">
        <v>0.26500000000000001</v>
      </c>
      <c r="FD43" s="14">
        <v>1.998</v>
      </c>
      <c r="FE43" s="14">
        <v>0.31</v>
      </c>
      <c r="FF43" s="14">
        <v>0.219</v>
      </c>
      <c r="FG43" s="14">
        <v>0.22600000000000001</v>
      </c>
      <c r="FH43" s="14">
        <v>0.38300000000000001</v>
      </c>
      <c r="FI43" s="14">
        <v>0.23400000000000001</v>
      </c>
      <c r="FJ43" s="14">
        <v>0.157</v>
      </c>
      <c r="FK43" s="14">
        <v>0.32200000000000001</v>
      </c>
      <c r="FL43" s="14">
        <v>0.57399999999999995</v>
      </c>
      <c r="FM43" s="14">
        <v>0.32600000000000001</v>
      </c>
      <c r="FN43" s="14">
        <v>0.36899999999999999</v>
      </c>
      <c r="FO43" s="14">
        <v>0.46500000000000002</v>
      </c>
      <c r="FP43" s="14">
        <v>0.30599999999999999</v>
      </c>
      <c r="FQ43" s="14">
        <v>0.30599999999999999</v>
      </c>
      <c r="FR43" s="14">
        <v>0.32300000000000001</v>
      </c>
      <c r="FS43" s="14">
        <v>0.311</v>
      </c>
      <c r="FT43" s="14">
        <v>0.184</v>
      </c>
      <c r="FU43" s="14">
        <v>0.183</v>
      </c>
      <c r="FV43" s="14">
        <v>6.4000000000000001E-2</v>
      </c>
      <c r="FW43" s="14">
        <v>0.02</v>
      </c>
      <c r="FX43" s="14">
        <v>0.13200000000000001</v>
      </c>
      <c r="FY43" s="14">
        <v>0.11799999999999999</v>
      </c>
      <c r="FZ43" s="14">
        <v>0.43099999999999999</v>
      </c>
      <c r="GA43" s="14">
        <v>0.61799999999999999</v>
      </c>
      <c r="GB43" s="14">
        <v>0.58499999999999996</v>
      </c>
      <c r="GC43" s="14">
        <v>0.60799999999999998</v>
      </c>
      <c r="GD43" s="14">
        <v>0.66500000000000004</v>
      </c>
      <c r="GE43" s="14">
        <v>0.90200000000000002</v>
      </c>
      <c r="GF43" s="14">
        <v>0.63200000000000001</v>
      </c>
      <c r="GG43" s="14">
        <v>1.298</v>
      </c>
      <c r="GH43" s="14">
        <v>0.82499999999999996</v>
      </c>
      <c r="GI43" s="14">
        <v>0.90800000000000003</v>
      </c>
      <c r="GJ43" s="14">
        <v>0.55500000000000005</v>
      </c>
      <c r="GK43" s="14">
        <v>0.90600000000000003</v>
      </c>
      <c r="GL43" s="14">
        <v>1.1850000000000001</v>
      </c>
      <c r="GM43" s="14">
        <v>0.84299999999999997</v>
      </c>
      <c r="GN43" s="14">
        <v>0.58399999999999996</v>
      </c>
      <c r="GO43" s="14">
        <v>0.42599999999999999</v>
      </c>
      <c r="GP43" s="14">
        <v>0.51600000000000001</v>
      </c>
      <c r="GQ43" s="14">
        <v>0.68799999999999994</v>
      </c>
      <c r="GR43" s="14">
        <v>0.65100000000000002</v>
      </c>
      <c r="GS43" s="14">
        <v>0.61</v>
      </c>
      <c r="GT43" s="14">
        <v>0.80100000000000005</v>
      </c>
      <c r="GU43" s="14">
        <v>0.57999999999999996</v>
      </c>
      <c r="GV43" s="14">
        <v>1.0069999999999999</v>
      </c>
      <c r="GW43" s="14">
        <v>0.58199999999999996</v>
      </c>
      <c r="GX43" s="14">
        <v>0.98199999999999998</v>
      </c>
      <c r="GY43" s="14">
        <v>0.69499999999999995</v>
      </c>
      <c r="GZ43" s="14">
        <v>0.79100000000000004</v>
      </c>
      <c r="HA43" s="14">
        <v>0.78200000000000003</v>
      </c>
      <c r="HB43" s="14">
        <v>0.79800000000000004</v>
      </c>
      <c r="HC43" s="14">
        <v>0.76500000000000001</v>
      </c>
      <c r="HD43" s="14">
        <v>1.1120000000000001</v>
      </c>
      <c r="HE43" s="14">
        <v>1.3340000000000001</v>
      </c>
      <c r="HF43" s="14">
        <v>0.91700000000000004</v>
      </c>
      <c r="HG43" s="14">
        <v>0.71299999999999997</v>
      </c>
      <c r="HH43" s="14">
        <v>0.75600000000000001</v>
      </c>
      <c r="HI43" s="14">
        <v>0.50600000000000001</v>
      </c>
      <c r="HJ43" s="14">
        <v>0.61</v>
      </c>
      <c r="HK43" s="14">
        <v>1.01</v>
      </c>
      <c r="HL43" s="14">
        <v>0.77300000000000002</v>
      </c>
      <c r="HM43" s="14">
        <v>1.284</v>
      </c>
      <c r="HN43" s="14">
        <v>1.377</v>
      </c>
      <c r="HO43" s="14">
        <v>1.0349999999999999</v>
      </c>
      <c r="HP43" s="14">
        <v>1.3620000000000001</v>
      </c>
      <c r="HQ43" s="14">
        <v>0.89700000000000002</v>
      </c>
      <c r="HR43" s="14">
        <v>1.149</v>
      </c>
      <c r="HS43" s="14">
        <v>1.077</v>
      </c>
      <c r="HT43" s="14">
        <v>0.81599999999999995</v>
      </c>
      <c r="HU43" s="14">
        <v>0.61899999999999999</v>
      </c>
      <c r="HV43" s="14">
        <v>0.88400000000000001</v>
      </c>
      <c r="HW43" s="14">
        <v>0.84599999999999997</v>
      </c>
      <c r="HX43" s="14">
        <v>0.70799999999999996</v>
      </c>
      <c r="HY43" s="14">
        <v>1.0669999999999999</v>
      </c>
      <c r="HZ43" s="14">
        <v>0.96299999999999997</v>
      </c>
      <c r="IA43" s="14">
        <v>0.95199999999999996</v>
      </c>
      <c r="IB43" s="14">
        <v>1.0589999999999999</v>
      </c>
      <c r="IC43" s="14">
        <v>0.80982631999999988</v>
      </c>
      <c r="ID43" s="14">
        <v>0.64802894</v>
      </c>
      <c r="IE43" s="14">
        <v>1.6967399600000002</v>
      </c>
      <c r="IF43" s="14">
        <v>1.0975769600000005</v>
      </c>
      <c r="IG43" s="14">
        <v>2.1235734300000013</v>
      </c>
      <c r="IH43" s="14">
        <v>1.9024178899999988</v>
      </c>
      <c r="II43" s="14">
        <v>1.6079612900000002</v>
      </c>
      <c r="IJ43" s="14">
        <v>2.1378034700000002</v>
      </c>
      <c r="IK43" s="14">
        <v>2.3255544299999995</v>
      </c>
      <c r="IL43" s="14">
        <v>2.1465185899999994</v>
      </c>
      <c r="IM43" s="14">
        <v>2.3063711000000002</v>
      </c>
      <c r="IN43" s="14">
        <v>1.9266719199999975</v>
      </c>
      <c r="IO43" s="14">
        <v>2.1695234100000005</v>
      </c>
      <c r="IP43" s="14">
        <v>2.5101624799999995</v>
      </c>
      <c r="IQ43" s="14">
        <v>2.3409807299999992</v>
      </c>
      <c r="IR43" s="14">
        <v>2.579989659999999</v>
      </c>
      <c r="IS43" s="14">
        <v>1.8147567100000035</v>
      </c>
      <c r="IT43" s="14">
        <v>2.42802447</v>
      </c>
      <c r="IU43" s="14">
        <v>2.4973102799999976</v>
      </c>
      <c r="IV43" s="14">
        <v>2.8365540299999994</v>
      </c>
      <c r="IW43" s="14">
        <v>2.061738389999999</v>
      </c>
      <c r="IX43" s="14">
        <v>1.8374839899999991</v>
      </c>
      <c r="IY43" s="14">
        <v>2.5143499200000008</v>
      </c>
      <c r="IZ43" s="14">
        <v>2.8249772799999988</v>
      </c>
      <c r="JA43" s="14">
        <v>3.180870319999995</v>
      </c>
      <c r="JB43" s="14">
        <v>2.4882369199999981</v>
      </c>
      <c r="JC43" s="14">
        <v>3.1092265699999992</v>
      </c>
      <c r="JD43" s="14">
        <v>2.9176890100000001</v>
      </c>
      <c r="JE43" s="14">
        <v>3.3912253700000021</v>
      </c>
      <c r="JF43" s="14">
        <v>1.9852474700000007</v>
      </c>
      <c r="JG43" s="14">
        <v>3.6302111400000023</v>
      </c>
      <c r="JH43" s="14">
        <v>2.671272440000001</v>
      </c>
      <c r="JI43" s="14">
        <v>2.7532966599999966</v>
      </c>
      <c r="JJ43" s="14">
        <v>3.2118948199999906</v>
      </c>
      <c r="JK43" s="14">
        <v>2.7735866199999974</v>
      </c>
      <c r="JL43" s="14">
        <v>2.4647654599999984</v>
      </c>
      <c r="JM43" s="14">
        <v>2.8573293270000018</v>
      </c>
      <c r="JN43" s="14">
        <v>3.4020418350000012</v>
      </c>
      <c r="JO43" s="14">
        <v>2.850331143</v>
      </c>
      <c r="JP43" s="14">
        <v>3.2083611539333186</v>
      </c>
      <c r="JQ43" s="14">
        <v>3.7957279220251223</v>
      </c>
      <c r="JR43" s="14">
        <v>2.1408517481786111</v>
      </c>
      <c r="JS43" s="14">
        <v>2.3261772728204235</v>
      </c>
      <c r="JT43" s="14">
        <v>1.8371240948327978</v>
      </c>
      <c r="JU43" s="14">
        <v>1.7657883837143269</v>
      </c>
      <c r="JV43" s="14">
        <v>4.685064061418502</v>
      </c>
      <c r="JW43" s="14">
        <v>4.6157460107992705</v>
      </c>
      <c r="JX43" s="14">
        <v>3.6954425442272942</v>
      </c>
      <c r="JY43" s="14">
        <v>2.8464500528864711</v>
      </c>
      <c r="JZ43" s="14">
        <v>3.0570009534405989</v>
      </c>
      <c r="KA43" s="14">
        <v>3.0306199732091166</v>
      </c>
      <c r="KB43" s="14">
        <v>2.8246156999986716</v>
      </c>
      <c r="KC43" s="14">
        <v>3.186325803983268</v>
      </c>
      <c r="KD43" s="14">
        <v>3.2200164796260586</v>
      </c>
      <c r="KE43" s="14">
        <v>3.2790509053513719</v>
      </c>
      <c r="KF43" s="14">
        <v>3.3541403999999426</v>
      </c>
      <c r="KG43" s="14">
        <v>2.5948566237345827</v>
      </c>
      <c r="KH43" s="14">
        <v>2.8028612213153368</v>
      </c>
      <c r="KI43" s="14">
        <v>2.0408619660557719</v>
      </c>
      <c r="KJ43" s="14">
        <v>2.2320675528527172</v>
      </c>
      <c r="KK43" s="14">
        <v>2.6196883882034934</v>
      </c>
      <c r="KL43" s="14">
        <v>1.893617289627596</v>
      </c>
      <c r="KM43" s="14">
        <v>1.5577515925745959</v>
      </c>
      <c r="KN43" s="14">
        <v>1.9645081238179936</v>
      </c>
      <c r="KO43" s="14">
        <v>2.0765221279999997</v>
      </c>
      <c r="KP43" s="14">
        <v>2.0827306650000019</v>
      </c>
      <c r="KQ43" s="14">
        <v>1.5036581634343325</v>
      </c>
      <c r="KR43" s="14">
        <v>2.0702700247069106</v>
      </c>
      <c r="KS43" s="14">
        <v>1.9998435758218585</v>
      </c>
      <c r="KT43" s="14">
        <v>2.2739322790000038</v>
      </c>
      <c r="KU43" s="14">
        <v>2.3759100937205111</v>
      </c>
      <c r="KV43" s="14">
        <v>1.7709721037669826</v>
      </c>
      <c r="KW43" s="14">
        <v>1.7475624142593498</v>
      </c>
      <c r="KX43" s="14">
        <v>1.3540250226916888</v>
      </c>
      <c r="KY43" s="14">
        <v>2.4073678178860844</v>
      </c>
      <c r="KZ43" s="14">
        <v>2.2027309183219561</v>
      </c>
      <c r="LA43" s="14">
        <v>2.5829236129231017</v>
      </c>
      <c r="LB43" s="14">
        <v>2.2746918766660666</v>
      </c>
      <c r="LC43" s="14">
        <v>1.4968149877255501</v>
      </c>
      <c r="LD43" s="14">
        <v>2.0832922998330741</v>
      </c>
      <c r="LE43" s="14">
        <v>3.0185396368789346</v>
      </c>
      <c r="LF43" s="14">
        <v>1.7662139517012097</v>
      </c>
      <c r="LG43" s="14">
        <v>1.8650263540760448</v>
      </c>
      <c r="LH43" s="14">
        <v>2.0625737899669461</v>
      </c>
      <c r="LI43" s="14">
        <v>2.1559202269590041</v>
      </c>
      <c r="LJ43" s="14">
        <v>2.6380242075415592</v>
      </c>
      <c r="LK43" s="14">
        <v>2.3264593789691679</v>
      </c>
      <c r="LL43" s="14">
        <v>2.7215556252642692</v>
      </c>
      <c r="LM43" s="14">
        <v>2.8577659040282355</v>
      </c>
      <c r="LN43" s="14">
        <v>2.2301240863296052</v>
      </c>
      <c r="LO43" s="14">
        <v>2.6788629000000035</v>
      </c>
      <c r="LP43" s="14">
        <v>3.2870813300000079</v>
      </c>
      <c r="LQ43" s="14">
        <v>3.0810788100000059</v>
      </c>
      <c r="LR43" s="14">
        <v>2.4940920099999992</v>
      </c>
      <c r="LS43" s="14">
        <v>3.161719939999994</v>
      </c>
      <c r="LT43" s="14">
        <v>2.7019822699999909</v>
      </c>
      <c r="LU43" s="149"/>
    </row>
    <row r="44" spans="1:333" x14ac:dyDescent="0.3">
      <c r="A44" s="21" t="s">
        <v>34</v>
      </c>
      <c r="B44" s="21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4">
        <v>0</v>
      </c>
      <c r="CJ44" s="14">
        <v>0</v>
      </c>
      <c r="CK44" s="14">
        <v>0</v>
      </c>
      <c r="CL44" s="14">
        <v>0</v>
      </c>
      <c r="CM44" s="14">
        <v>0</v>
      </c>
      <c r="CN44" s="14">
        <v>0</v>
      </c>
      <c r="CO44" s="14">
        <v>0</v>
      </c>
      <c r="CP44" s="14">
        <v>0</v>
      </c>
      <c r="CQ44" s="14">
        <v>0</v>
      </c>
      <c r="CR44" s="14">
        <v>0</v>
      </c>
      <c r="CS44" s="14">
        <v>0</v>
      </c>
      <c r="CT44" s="14">
        <v>0</v>
      </c>
      <c r="CU44" s="14">
        <v>0</v>
      </c>
      <c r="CV44" s="14">
        <v>0</v>
      </c>
      <c r="CW44" s="14">
        <v>0</v>
      </c>
      <c r="CX44" s="14">
        <v>0</v>
      </c>
      <c r="CY44" s="14">
        <v>0</v>
      </c>
      <c r="CZ44" s="14">
        <v>0</v>
      </c>
      <c r="DA44" s="14">
        <v>0</v>
      </c>
      <c r="DB44" s="14">
        <v>0</v>
      </c>
      <c r="DC44" s="14">
        <v>0</v>
      </c>
      <c r="DD44" s="14">
        <v>0</v>
      </c>
      <c r="DE44" s="14">
        <v>0</v>
      </c>
      <c r="DF44" s="14">
        <v>0</v>
      </c>
      <c r="DG44" s="14">
        <v>0</v>
      </c>
      <c r="DH44" s="14">
        <v>0</v>
      </c>
      <c r="DI44" s="14">
        <v>0</v>
      </c>
      <c r="DJ44" s="14">
        <v>0</v>
      </c>
      <c r="DK44" s="14">
        <v>0</v>
      </c>
      <c r="DL44" s="14">
        <v>0</v>
      </c>
      <c r="DM44" s="14">
        <v>0</v>
      </c>
      <c r="DN44" s="14">
        <v>0</v>
      </c>
      <c r="DO44" s="14">
        <v>0</v>
      </c>
      <c r="DP44" s="14">
        <v>0</v>
      </c>
      <c r="DQ44" s="14">
        <v>0</v>
      </c>
      <c r="DR44" s="14">
        <v>0</v>
      </c>
      <c r="DS44" s="14">
        <v>0</v>
      </c>
      <c r="DT44" s="14">
        <v>0</v>
      </c>
      <c r="DU44" s="14">
        <v>0</v>
      </c>
      <c r="DV44" s="14">
        <v>0</v>
      </c>
      <c r="DW44" s="14">
        <v>0</v>
      </c>
      <c r="DX44" s="14">
        <v>0</v>
      </c>
      <c r="DY44" s="14">
        <v>0</v>
      </c>
      <c r="DZ44" s="14">
        <v>0</v>
      </c>
      <c r="EA44" s="14">
        <v>0</v>
      </c>
      <c r="EB44" s="14">
        <v>0</v>
      </c>
      <c r="EC44" s="14">
        <v>0</v>
      </c>
      <c r="ED44" s="14">
        <v>0</v>
      </c>
      <c r="EE44" s="14">
        <v>0</v>
      </c>
      <c r="EF44" s="14">
        <v>0</v>
      </c>
      <c r="EG44" s="14">
        <v>0</v>
      </c>
      <c r="EH44" s="14">
        <v>0</v>
      </c>
      <c r="EI44" s="14">
        <v>0</v>
      </c>
      <c r="EJ44" s="14">
        <v>0</v>
      </c>
      <c r="EK44" s="14">
        <v>0</v>
      </c>
      <c r="EL44" s="14">
        <v>0</v>
      </c>
      <c r="EM44" s="14">
        <v>0</v>
      </c>
      <c r="EN44" s="14">
        <v>0</v>
      </c>
      <c r="EO44" s="14">
        <v>0</v>
      </c>
      <c r="EP44" s="14">
        <v>0</v>
      </c>
      <c r="EQ44" s="14">
        <v>0</v>
      </c>
      <c r="ER44" s="14">
        <v>0</v>
      </c>
      <c r="ES44" s="14">
        <v>0</v>
      </c>
      <c r="ET44" s="14">
        <v>0</v>
      </c>
      <c r="EU44" s="14">
        <v>0</v>
      </c>
      <c r="EV44" s="14">
        <v>0</v>
      </c>
      <c r="EW44" s="14">
        <v>0</v>
      </c>
      <c r="EX44" s="14">
        <v>0</v>
      </c>
      <c r="EY44" s="14">
        <v>0</v>
      </c>
      <c r="EZ44" s="14">
        <v>0</v>
      </c>
      <c r="FA44" s="14">
        <v>0</v>
      </c>
      <c r="FB44" s="14">
        <v>0</v>
      </c>
      <c r="FC44" s="14">
        <v>0</v>
      </c>
      <c r="FD44" s="14">
        <v>0</v>
      </c>
      <c r="FE44" s="14">
        <v>0</v>
      </c>
      <c r="FF44" s="14">
        <v>0</v>
      </c>
      <c r="FG44" s="14">
        <v>0</v>
      </c>
      <c r="FH44" s="14">
        <v>0</v>
      </c>
      <c r="FI44" s="14">
        <v>0</v>
      </c>
      <c r="FJ44" s="14">
        <v>0</v>
      </c>
      <c r="FK44" s="14">
        <v>0</v>
      </c>
      <c r="FL44" s="14">
        <v>0</v>
      </c>
      <c r="FM44" s="14">
        <v>0</v>
      </c>
      <c r="FN44" s="14">
        <v>0</v>
      </c>
      <c r="FO44" s="14">
        <v>0</v>
      </c>
      <c r="FP44" s="14">
        <v>0</v>
      </c>
      <c r="FQ44" s="14">
        <v>0</v>
      </c>
      <c r="FR44" s="14">
        <v>0</v>
      </c>
      <c r="FS44" s="14">
        <v>0</v>
      </c>
      <c r="FT44" s="14">
        <v>0</v>
      </c>
      <c r="FU44" s="14">
        <v>0</v>
      </c>
      <c r="FV44" s="14">
        <v>0</v>
      </c>
      <c r="FW44" s="14">
        <v>0</v>
      </c>
      <c r="FX44" s="14">
        <v>0</v>
      </c>
      <c r="FY44" s="14">
        <v>0</v>
      </c>
      <c r="FZ44" s="14">
        <v>0</v>
      </c>
      <c r="GA44" s="14">
        <v>0</v>
      </c>
      <c r="GB44" s="14">
        <v>0</v>
      </c>
      <c r="GC44" s="14">
        <v>0</v>
      </c>
      <c r="GD44" s="14">
        <v>0</v>
      </c>
      <c r="GE44" s="14">
        <v>0</v>
      </c>
      <c r="GF44" s="14">
        <v>0</v>
      </c>
      <c r="GG44" s="14">
        <v>0</v>
      </c>
      <c r="GH44" s="14">
        <v>0</v>
      </c>
      <c r="GI44" s="14">
        <v>0</v>
      </c>
      <c r="GJ44" s="14">
        <v>0</v>
      </c>
      <c r="GK44" s="14">
        <v>0</v>
      </c>
      <c r="GL44" s="14">
        <v>0</v>
      </c>
      <c r="GM44" s="14">
        <v>0</v>
      </c>
      <c r="GN44" s="14">
        <v>0</v>
      </c>
      <c r="GO44" s="14">
        <v>0</v>
      </c>
      <c r="GP44" s="14">
        <v>0.73699999999999999</v>
      </c>
      <c r="GQ44" s="14">
        <v>0.82399999999999995</v>
      </c>
      <c r="GR44" s="14">
        <v>0.81100000000000005</v>
      </c>
      <c r="GS44" s="14">
        <v>1.0109999999999999</v>
      </c>
      <c r="GT44" s="14">
        <v>0.52700000000000002</v>
      </c>
      <c r="GU44" s="14">
        <v>0.62</v>
      </c>
      <c r="GV44" s="14">
        <v>0.68799999999999994</v>
      </c>
      <c r="GW44" s="14">
        <v>0.47399999999999998</v>
      </c>
      <c r="GX44" s="14">
        <v>0.193</v>
      </c>
      <c r="GY44" s="14">
        <v>0.63900000000000001</v>
      </c>
      <c r="GZ44" s="14">
        <v>0.96</v>
      </c>
      <c r="HA44" s="14">
        <v>0.71799999999999997</v>
      </c>
      <c r="HB44" s="14">
        <v>1.698</v>
      </c>
      <c r="HC44" s="14">
        <v>1.5820000000000001</v>
      </c>
      <c r="HD44" s="14">
        <v>1.319</v>
      </c>
      <c r="HE44" s="14">
        <v>0.92600000000000005</v>
      </c>
      <c r="HF44" s="14">
        <v>1.0149999999999999</v>
      </c>
      <c r="HG44" s="14">
        <v>1.2010000000000001</v>
      </c>
      <c r="HH44" s="14">
        <v>2.0640000000000001</v>
      </c>
      <c r="HI44" s="14">
        <v>1.165</v>
      </c>
      <c r="HJ44" s="14">
        <v>0.96</v>
      </c>
      <c r="HK44" s="14">
        <v>1.1830000000000001</v>
      </c>
      <c r="HL44" s="14">
        <v>1.1619999999999999</v>
      </c>
      <c r="HM44" s="14">
        <v>1.4330000000000001</v>
      </c>
      <c r="HN44" s="14">
        <v>2.0299999999999998</v>
      </c>
      <c r="HO44" s="14">
        <v>1.6080000000000001</v>
      </c>
      <c r="HP44" s="14">
        <v>1.99</v>
      </c>
      <c r="HQ44" s="14">
        <v>1.1220000000000001</v>
      </c>
      <c r="HR44" s="14">
        <v>1.2490000000000001</v>
      </c>
      <c r="HS44" s="14">
        <v>1.054</v>
      </c>
      <c r="HT44" s="14">
        <v>1.345</v>
      </c>
      <c r="HU44" s="14">
        <v>1.7709999999999999</v>
      </c>
      <c r="HV44" s="14">
        <v>1.681</v>
      </c>
      <c r="HW44" s="14">
        <v>0.75900000000000001</v>
      </c>
      <c r="HX44" s="14">
        <v>1.0940000000000001</v>
      </c>
      <c r="HY44" s="14">
        <v>1.052</v>
      </c>
      <c r="HZ44" s="14">
        <v>1.2170000000000001</v>
      </c>
      <c r="IA44" s="14">
        <v>1.0720000000000001</v>
      </c>
      <c r="IB44" s="14">
        <v>1.379</v>
      </c>
      <c r="IC44" s="14">
        <v>0.82299885999999967</v>
      </c>
      <c r="ID44" s="14">
        <v>1.0314775700000005</v>
      </c>
      <c r="IE44" s="14">
        <v>1.3053007599999999</v>
      </c>
      <c r="IF44" s="14">
        <v>0.89732424000000011</v>
      </c>
      <c r="IG44" s="14">
        <v>1.4889468499999998</v>
      </c>
      <c r="IH44" s="14">
        <v>1.503002179999998</v>
      </c>
      <c r="II44" s="14">
        <v>1.8398457399999995</v>
      </c>
      <c r="IJ44" s="14">
        <v>1.6932617999999995</v>
      </c>
      <c r="IK44" s="14">
        <v>1.3758473800000004</v>
      </c>
      <c r="IL44" s="14">
        <v>1.9732280799999991</v>
      </c>
      <c r="IM44" s="14">
        <v>1.75551517</v>
      </c>
      <c r="IN44" s="14">
        <v>2.637239590000001</v>
      </c>
      <c r="IO44" s="14">
        <v>2.1301250799999991</v>
      </c>
      <c r="IP44" s="14">
        <v>2.416390209999999</v>
      </c>
      <c r="IQ44" s="14">
        <v>2.4245189899999984</v>
      </c>
      <c r="IR44" s="14">
        <v>3.8806209899999931</v>
      </c>
      <c r="IS44" s="14">
        <v>2.7977019499999995</v>
      </c>
      <c r="IT44" s="14">
        <v>3.7571222299999976</v>
      </c>
      <c r="IU44" s="14">
        <v>3.0217227999999987</v>
      </c>
      <c r="IV44" s="14">
        <v>3.69613236</v>
      </c>
      <c r="IW44" s="14">
        <v>3.7362547499999978</v>
      </c>
      <c r="IX44" s="14">
        <v>3.4181146799999969</v>
      </c>
      <c r="IY44" s="14">
        <v>3.7485047999999996</v>
      </c>
      <c r="IZ44" s="14">
        <v>3.9692612999999994</v>
      </c>
      <c r="JA44" s="14">
        <v>2.9280407399999993</v>
      </c>
      <c r="JB44" s="14">
        <v>2.1495932299999998</v>
      </c>
      <c r="JC44" s="14">
        <v>2.2638493199999998</v>
      </c>
      <c r="JD44" s="14">
        <v>2.8823401499999983</v>
      </c>
      <c r="JE44" s="14">
        <v>3.7270630099999988</v>
      </c>
      <c r="JF44" s="14">
        <v>4.9835920400000111</v>
      </c>
      <c r="JG44" s="14">
        <v>2.4653453099999996</v>
      </c>
      <c r="JH44" s="14">
        <v>2.6966147300000007</v>
      </c>
      <c r="JI44" s="14">
        <v>3.5353285800000025</v>
      </c>
      <c r="JJ44" s="14">
        <v>3.2696210899999985</v>
      </c>
      <c r="JK44" s="14">
        <v>3.2331126600000002</v>
      </c>
      <c r="JL44" s="14">
        <v>2.81406505</v>
      </c>
      <c r="JM44" s="14">
        <v>2.2764536560000002</v>
      </c>
      <c r="JN44" s="14">
        <v>1.7088190029999999</v>
      </c>
      <c r="JO44" s="14">
        <v>1.96868226</v>
      </c>
      <c r="JP44" s="14">
        <v>1.8758132440000002</v>
      </c>
      <c r="JQ44" s="14">
        <v>2.1743182236938821</v>
      </c>
      <c r="JR44" s="14">
        <v>1.642556203</v>
      </c>
      <c r="JS44" s="14">
        <v>2.0715537942208893</v>
      </c>
      <c r="JT44" s="14">
        <v>2.4296619820000007</v>
      </c>
      <c r="JU44" s="14">
        <v>3.6228589879999973</v>
      </c>
      <c r="JV44" s="14">
        <v>4.178428319</v>
      </c>
      <c r="JW44" s="14">
        <v>2.6368183870000004</v>
      </c>
      <c r="JX44" s="14">
        <v>2.1422054486758326</v>
      </c>
      <c r="JY44" s="14">
        <v>2.4091874667072095</v>
      </c>
      <c r="JZ44" s="14">
        <v>1.8058974610433349</v>
      </c>
      <c r="KA44" s="14">
        <v>1.9830220489999986</v>
      </c>
      <c r="KB44" s="14">
        <v>1.5534150119999999</v>
      </c>
      <c r="KC44" s="14">
        <v>1.8994335972252812</v>
      </c>
      <c r="KD44" s="14">
        <v>1.6693853761617987</v>
      </c>
      <c r="KE44" s="14">
        <v>2.424892531450062</v>
      </c>
      <c r="KF44" s="14">
        <v>1.8286270166443528</v>
      </c>
      <c r="KG44" s="14">
        <v>1.9314737734521883</v>
      </c>
      <c r="KH44" s="14">
        <v>1.708643747543815</v>
      </c>
      <c r="KI44" s="14">
        <v>2.7692932186031691</v>
      </c>
      <c r="KJ44" s="14">
        <v>2.4667819076869022</v>
      </c>
      <c r="KK44" s="14">
        <v>1.8458419430000002</v>
      </c>
      <c r="KL44" s="14">
        <v>1.3679911066720387</v>
      </c>
      <c r="KM44" s="14">
        <v>1.702277944881599</v>
      </c>
      <c r="KN44" s="14">
        <v>1.8113672134443908</v>
      </c>
      <c r="KO44" s="14">
        <v>2.0166326529999998</v>
      </c>
      <c r="KP44" s="14">
        <v>2.1267393380000001</v>
      </c>
      <c r="KQ44" s="14">
        <v>1.5374087562562884</v>
      </c>
      <c r="KR44" s="14">
        <v>1.883228720767351</v>
      </c>
      <c r="KS44" s="14">
        <v>1.5681909679362525</v>
      </c>
      <c r="KT44" s="14">
        <v>1.3354145087633023</v>
      </c>
      <c r="KU44" s="14">
        <v>1.4464319460000001</v>
      </c>
      <c r="KV44" s="14">
        <v>1.7193341225941483</v>
      </c>
      <c r="KW44" s="14">
        <v>1.7300254982508445</v>
      </c>
      <c r="KX44" s="14">
        <v>1.5707987899999996</v>
      </c>
      <c r="KY44" s="14">
        <v>2.4053938841886651</v>
      </c>
      <c r="KZ44" s="14">
        <v>2.5442333003048958</v>
      </c>
      <c r="LA44" s="14">
        <v>2.8327715667624043</v>
      </c>
      <c r="LB44" s="14">
        <v>2.3163880130000014</v>
      </c>
      <c r="LC44" s="14">
        <v>2.6347391206951305</v>
      </c>
      <c r="LD44" s="14">
        <v>2.1409503475164828</v>
      </c>
      <c r="LE44" s="14">
        <v>2.3917317825635811</v>
      </c>
      <c r="LF44" s="14">
        <v>1.9287133875470062</v>
      </c>
      <c r="LG44" s="14">
        <v>2.2064524542713801</v>
      </c>
      <c r="LH44" s="14">
        <v>2.3376497383395973</v>
      </c>
      <c r="LI44" s="14">
        <v>2.3197127358147878</v>
      </c>
      <c r="LJ44" s="14">
        <v>1.9664690439904584</v>
      </c>
      <c r="LK44" s="14">
        <v>2.2903743892855664</v>
      </c>
      <c r="LL44" s="14">
        <v>2.9648947732790272</v>
      </c>
      <c r="LM44" s="14">
        <v>2.9304716517055343</v>
      </c>
      <c r="LN44" s="14">
        <v>2.9666498265278127</v>
      </c>
      <c r="LO44" s="14">
        <v>2.2098650499999977</v>
      </c>
      <c r="LP44" s="14">
        <v>2.7526968700000012</v>
      </c>
      <c r="LQ44" s="14">
        <v>1.9599089899999993</v>
      </c>
      <c r="LR44" s="14">
        <v>0.97233811999999953</v>
      </c>
      <c r="LS44" s="14">
        <v>2.0549786900000004</v>
      </c>
      <c r="LT44" s="14">
        <v>1.5439654499999997</v>
      </c>
      <c r="LU44" s="149"/>
    </row>
    <row r="45" spans="1:333" x14ac:dyDescent="0.3">
      <c r="A45" s="2" t="s">
        <v>35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4">
        <v>0.26400000000000001</v>
      </c>
      <c r="CJ45" s="14">
        <v>0.188</v>
      </c>
      <c r="CK45" s="14">
        <v>8.6000000000000007E-2</v>
      </c>
      <c r="CL45" s="14">
        <v>0.154</v>
      </c>
      <c r="CM45" s="14">
        <v>4.9000000000000002E-2</v>
      </c>
      <c r="CN45" s="14">
        <v>0.153</v>
      </c>
      <c r="CO45" s="14">
        <v>0.11</v>
      </c>
      <c r="CP45" s="14">
        <v>0.14699999999999999</v>
      </c>
      <c r="CQ45" s="14">
        <v>0.14200000000000002</v>
      </c>
      <c r="CR45" s="14">
        <v>0.17200000000000001</v>
      </c>
      <c r="CS45" s="14">
        <v>9.6000000000000002E-2</v>
      </c>
      <c r="CT45" s="14">
        <v>0.115</v>
      </c>
      <c r="CU45" s="14">
        <v>0.246</v>
      </c>
      <c r="CV45" s="14">
        <v>0.218</v>
      </c>
      <c r="CW45" s="14">
        <v>0.14499999999999999</v>
      </c>
      <c r="CX45" s="14">
        <v>0.125</v>
      </c>
      <c r="CY45" s="14">
        <v>0.38700000000000001</v>
      </c>
      <c r="CZ45" s="14">
        <v>0.13905400000000001</v>
      </c>
      <c r="DA45" s="14">
        <v>0.14699999999999999</v>
      </c>
      <c r="DB45" s="14">
        <v>0.12</v>
      </c>
      <c r="DC45" s="14">
        <v>0.14300000000000002</v>
      </c>
      <c r="DD45" s="14">
        <v>7.5999999999999998E-2</v>
      </c>
      <c r="DE45" s="14">
        <v>0.191</v>
      </c>
      <c r="DF45" s="14">
        <v>0.152</v>
      </c>
      <c r="DG45" s="14">
        <v>0.156</v>
      </c>
      <c r="DH45" s="14">
        <v>0.159</v>
      </c>
      <c r="DI45" s="14">
        <v>0.153</v>
      </c>
      <c r="DJ45" s="14">
        <v>0.11700000000000001</v>
      </c>
      <c r="DK45" s="14">
        <v>4.2000000000000003E-2</v>
      </c>
      <c r="DL45" s="14">
        <v>0.11800000000000001</v>
      </c>
      <c r="DM45" s="14">
        <v>0.25700000000000001</v>
      </c>
      <c r="DN45" s="14">
        <v>0.23800000000000002</v>
      </c>
      <c r="DO45" s="14">
        <v>6.8000000000000005E-2</v>
      </c>
      <c r="DP45" s="14">
        <v>0.23800000000000002</v>
      </c>
      <c r="DQ45" s="14">
        <v>0.26900000000000002</v>
      </c>
      <c r="DR45" s="14">
        <v>0.21199999999999999</v>
      </c>
      <c r="DS45" s="14">
        <v>0.156</v>
      </c>
      <c r="DT45" s="14">
        <v>0.27700000000000002</v>
      </c>
      <c r="DU45" s="14">
        <v>0.13400000000000001</v>
      </c>
      <c r="DV45" s="14">
        <v>0.219</v>
      </c>
      <c r="DW45" s="14">
        <v>0.28200000000000003</v>
      </c>
      <c r="DX45" s="14">
        <v>0.20699999999999999</v>
      </c>
      <c r="DY45" s="14">
        <v>0.39500000000000002</v>
      </c>
      <c r="DZ45" s="14">
        <v>0.24099999999999999</v>
      </c>
      <c r="EA45" s="14">
        <v>0.245</v>
      </c>
      <c r="EB45" s="14">
        <v>0</v>
      </c>
      <c r="EC45" s="14">
        <v>0.33100000000000002</v>
      </c>
      <c r="ED45" s="14">
        <v>0.26400000000000001</v>
      </c>
      <c r="EE45" s="14">
        <v>0.255</v>
      </c>
      <c r="EF45" s="14">
        <v>0.26</v>
      </c>
      <c r="EG45" s="14">
        <v>0.27800000000000002</v>
      </c>
      <c r="EH45" s="14">
        <v>0.311</v>
      </c>
      <c r="EI45" s="14">
        <v>0.35299999999999998</v>
      </c>
      <c r="EJ45" s="14">
        <v>0.245</v>
      </c>
      <c r="EK45" s="14">
        <v>0.56799999999999995</v>
      </c>
      <c r="EL45" s="14">
        <v>0.372</v>
      </c>
      <c r="EM45" s="14">
        <v>0.49299999999999999</v>
      </c>
      <c r="EN45" s="14">
        <v>0.28799999999999998</v>
      </c>
      <c r="EO45" s="14">
        <v>0.502</v>
      </c>
      <c r="EP45" s="14">
        <v>0.32300000000000001</v>
      </c>
      <c r="EQ45" s="14">
        <v>0.69599999999999995</v>
      </c>
      <c r="ER45" s="14">
        <v>0.55300000000000005</v>
      </c>
      <c r="ES45" s="14">
        <v>0.56100000000000005</v>
      </c>
      <c r="ET45" s="14">
        <v>0.48799999999999999</v>
      </c>
      <c r="EU45" s="14">
        <v>0.43099999999999999</v>
      </c>
      <c r="EV45" s="14">
        <v>0.28399999999999997</v>
      </c>
      <c r="EW45" s="14">
        <v>0.66400000000000003</v>
      </c>
      <c r="EX45" s="14">
        <v>0.59599999999999997</v>
      </c>
      <c r="EY45" s="14">
        <v>0.71199999999999997</v>
      </c>
      <c r="EZ45" s="14">
        <v>0.52400000000000002</v>
      </c>
      <c r="FA45" s="14">
        <v>0.60299999999999998</v>
      </c>
      <c r="FB45" s="14">
        <v>0.58699999999999997</v>
      </c>
      <c r="FC45" s="14">
        <v>0.67800000000000005</v>
      </c>
      <c r="FD45" s="14">
        <v>0.65200000000000002</v>
      </c>
      <c r="FE45" s="14">
        <v>0.71699999999999997</v>
      </c>
      <c r="FF45" s="14">
        <v>0.64500000000000002</v>
      </c>
      <c r="FG45" s="14">
        <v>0.65300000000000002</v>
      </c>
      <c r="FH45" s="14">
        <v>0.51900000000000002</v>
      </c>
      <c r="FI45" s="14">
        <v>0.67900000000000005</v>
      </c>
      <c r="FJ45" s="14">
        <v>0.66100000000000003</v>
      </c>
      <c r="FK45" s="14">
        <v>0.68400000000000005</v>
      </c>
      <c r="FL45" s="14">
        <v>0.66400000000000003</v>
      </c>
      <c r="FM45" s="14">
        <v>0.64900000000000002</v>
      </c>
      <c r="FN45" s="14">
        <v>0.52200000000000002</v>
      </c>
      <c r="FO45" s="14">
        <v>0.53300000000000003</v>
      </c>
      <c r="FP45" s="14">
        <v>0.83099999999999996</v>
      </c>
      <c r="FQ45" s="14">
        <v>0.378</v>
      </c>
      <c r="FR45" s="14">
        <v>0.40200000000000002</v>
      </c>
      <c r="FS45" s="14">
        <v>0.49199999999999999</v>
      </c>
      <c r="FT45" s="14">
        <v>0.59499999999999997</v>
      </c>
      <c r="FU45" s="14">
        <v>0.70499999999999996</v>
      </c>
      <c r="FV45" s="14">
        <v>0.27800000000000002</v>
      </c>
      <c r="FW45" s="14">
        <v>4.0000000000000001E-3</v>
      </c>
      <c r="FX45" s="14">
        <v>2.8000000000000001E-2</v>
      </c>
      <c r="FY45" s="14">
        <v>1.7999999999999999E-2</v>
      </c>
      <c r="FZ45" s="14">
        <v>0.44900000000000001</v>
      </c>
      <c r="GA45" s="14">
        <v>0.41699999999999998</v>
      </c>
      <c r="GB45" s="14">
        <v>0.56599999999999995</v>
      </c>
      <c r="GC45" s="14">
        <v>0.57499999999999996</v>
      </c>
      <c r="GD45" s="14">
        <v>0.89800000000000002</v>
      </c>
      <c r="GE45" s="14">
        <v>0.72399999999999998</v>
      </c>
      <c r="GF45" s="14">
        <v>0.88300000000000001</v>
      </c>
      <c r="GG45" s="14">
        <v>1.3169999999999999</v>
      </c>
      <c r="GH45" s="14">
        <v>1.2330000000000001</v>
      </c>
      <c r="GI45" s="14">
        <v>1.028</v>
      </c>
      <c r="GJ45" s="14">
        <v>1.036</v>
      </c>
      <c r="GK45" s="14">
        <v>1.111</v>
      </c>
      <c r="GL45" s="14">
        <v>1.35</v>
      </c>
      <c r="GM45" s="14">
        <v>1.1060000000000001</v>
      </c>
      <c r="GN45" s="14">
        <v>1.157</v>
      </c>
      <c r="GO45" s="14">
        <v>1.0069999999999999</v>
      </c>
      <c r="GP45" s="14">
        <v>1.3979999999999999</v>
      </c>
      <c r="GQ45" s="14">
        <v>1.2070000000000001</v>
      </c>
      <c r="GR45" s="14">
        <v>1.373</v>
      </c>
      <c r="GS45" s="14">
        <v>1.758</v>
      </c>
      <c r="GT45" s="14">
        <v>1.0129999999999999</v>
      </c>
      <c r="GU45" s="14">
        <v>1.5429999999999999</v>
      </c>
      <c r="GV45" s="14">
        <v>1.734</v>
      </c>
      <c r="GW45" s="14">
        <v>1.63</v>
      </c>
      <c r="GX45" s="14">
        <v>1.371</v>
      </c>
      <c r="GY45" s="14">
        <v>1.82</v>
      </c>
      <c r="GZ45" s="14">
        <v>1.478</v>
      </c>
      <c r="HA45" s="14">
        <v>1.173</v>
      </c>
      <c r="HB45" s="14">
        <v>1.528</v>
      </c>
      <c r="HC45" s="14">
        <v>1.3089999999999999</v>
      </c>
      <c r="HD45" s="14">
        <v>0.624</v>
      </c>
      <c r="HE45" s="14">
        <v>0.89600000000000002</v>
      </c>
      <c r="HF45" s="14">
        <v>0.77700000000000002</v>
      </c>
      <c r="HG45" s="14">
        <v>0.98499999999999999</v>
      </c>
      <c r="HH45" s="14">
        <v>0.73899999999999999</v>
      </c>
      <c r="HI45" s="14">
        <v>0.70099999999999996</v>
      </c>
      <c r="HJ45" s="14">
        <v>0.66</v>
      </c>
      <c r="HK45" s="14">
        <v>0.88100000000000001</v>
      </c>
      <c r="HL45" s="14">
        <v>1.1850000000000001</v>
      </c>
      <c r="HM45" s="14">
        <v>0.93899999999999995</v>
      </c>
      <c r="HN45" s="14">
        <v>1.9259999999999999</v>
      </c>
      <c r="HO45" s="14">
        <v>1.337</v>
      </c>
      <c r="HP45" s="14">
        <v>1.3009999999999999</v>
      </c>
      <c r="HQ45" s="14">
        <v>1.2929999999999999</v>
      </c>
      <c r="HR45" s="14">
        <v>1.264</v>
      </c>
      <c r="HS45" s="14">
        <v>1.4390000000000001</v>
      </c>
      <c r="HT45" s="14">
        <v>1.81</v>
      </c>
      <c r="HU45" s="14">
        <v>1.329</v>
      </c>
      <c r="HV45" s="14">
        <v>1.4219999999999999</v>
      </c>
      <c r="HW45" s="14">
        <v>1.395</v>
      </c>
      <c r="HX45" s="14">
        <v>1.8440000000000001</v>
      </c>
      <c r="HY45" s="14">
        <v>1.44</v>
      </c>
      <c r="HZ45" s="14">
        <v>2.04</v>
      </c>
      <c r="IA45" s="14">
        <v>1.6220000000000001</v>
      </c>
      <c r="IB45" s="14">
        <v>1.71</v>
      </c>
      <c r="IC45" s="14">
        <v>2.0442787699999987</v>
      </c>
      <c r="ID45" s="14">
        <v>1.7180685799999995</v>
      </c>
      <c r="IE45" s="14">
        <v>1.91495273</v>
      </c>
      <c r="IF45" s="14">
        <v>2.1933870299999998</v>
      </c>
      <c r="IG45" s="14">
        <v>2.4087823399999992</v>
      </c>
      <c r="IH45" s="14">
        <v>1.7025614199999994</v>
      </c>
      <c r="II45" s="14">
        <v>2.3721761399999988</v>
      </c>
      <c r="IJ45" s="14">
        <v>2.5535662900000013</v>
      </c>
      <c r="IK45" s="14">
        <v>2.9094817000000028</v>
      </c>
      <c r="IL45" s="14">
        <v>2.0193674000000006</v>
      </c>
      <c r="IM45" s="14">
        <v>2.0979378000000013</v>
      </c>
      <c r="IN45" s="14">
        <v>2.3369026800000006</v>
      </c>
      <c r="IO45" s="14">
        <v>3.1593451100000021</v>
      </c>
      <c r="IP45" s="14">
        <v>3.2120683500000009</v>
      </c>
      <c r="IQ45" s="14">
        <v>3.3007916799999961</v>
      </c>
      <c r="IR45" s="14">
        <v>2.8203631499999986</v>
      </c>
      <c r="IS45" s="14">
        <v>2.8209999500000005</v>
      </c>
      <c r="IT45" s="14">
        <v>3.2258895299999968</v>
      </c>
      <c r="IU45" s="14">
        <v>2.1760190000000015</v>
      </c>
      <c r="IV45" s="14">
        <v>2.6501040000000007</v>
      </c>
      <c r="IW45" s="14">
        <v>2.6979329400000003</v>
      </c>
      <c r="IX45" s="14">
        <v>2.4594751000000015</v>
      </c>
      <c r="IY45" s="14">
        <v>2.4024685299999993</v>
      </c>
      <c r="IZ45" s="14">
        <v>2.3294029600000008</v>
      </c>
      <c r="JA45" s="14">
        <v>3.3225801100000005</v>
      </c>
      <c r="JB45" s="14">
        <v>3.0178003000000015</v>
      </c>
      <c r="JC45" s="14">
        <v>2.8732430400000002</v>
      </c>
      <c r="JD45" s="14">
        <v>2.528209470000002</v>
      </c>
      <c r="JE45" s="14">
        <v>3.147967379999999</v>
      </c>
      <c r="JF45" s="14">
        <v>2.3869330300000011</v>
      </c>
      <c r="JG45" s="14">
        <v>2.5926356600000013</v>
      </c>
      <c r="JH45" s="14">
        <v>2.50798816</v>
      </c>
      <c r="JI45" s="14">
        <v>2.9137214500000002</v>
      </c>
      <c r="JJ45" s="14">
        <v>2.3024590499999991</v>
      </c>
      <c r="JK45" s="14">
        <v>2.3414243400000001</v>
      </c>
      <c r="JL45" s="14">
        <v>2.6759241000000009</v>
      </c>
      <c r="JM45" s="14">
        <v>3.2766028129999998</v>
      </c>
      <c r="JN45" s="14">
        <v>3.0160749929999984</v>
      </c>
      <c r="JO45" s="14">
        <v>3.389800782999997</v>
      </c>
      <c r="JP45" s="14">
        <v>3.145993470000001</v>
      </c>
      <c r="JQ45" s="14">
        <v>2.2793988208025042</v>
      </c>
      <c r="JR45" s="14">
        <v>2.3975807878628395</v>
      </c>
      <c r="JS45" s="14">
        <v>2.6926801924476664</v>
      </c>
      <c r="JT45" s="14">
        <v>2.5530539902669966</v>
      </c>
      <c r="JU45" s="14">
        <v>2.5996252535333468</v>
      </c>
      <c r="JV45" s="14">
        <v>2.503109796869242</v>
      </c>
      <c r="JW45" s="14">
        <v>2.0822898001619938</v>
      </c>
      <c r="JX45" s="14">
        <v>2.1351240191944414</v>
      </c>
      <c r="JY45" s="14">
        <v>2.5729208335422831</v>
      </c>
      <c r="JZ45" s="14">
        <v>2.3112278065407832</v>
      </c>
      <c r="KA45" s="14">
        <v>2.5047157526874688</v>
      </c>
      <c r="KB45" s="14">
        <v>2.4848311757942181</v>
      </c>
      <c r="KC45" s="14">
        <v>1.7519831339889906</v>
      </c>
      <c r="KD45" s="14">
        <v>4.0879207804237119</v>
      </c>
      <c r="KE45" s="14">
        <v>2.198341091919513</v>
      </c>
      <c r="KF45" s="14">
        <v>1.6746834149104735</v>
      </c>
      <c r="KG45" s="14">
        <v>1.6801199646021416</v>
      </c>
      <c r="KH45" s="14">
        <v>1.8176656886581135</v>
      </c>
      <c r="KI45" s="14">
        <v>2.0190562084477417</v>
      </c>
      <c r="KJ45" s="14">
        <v>1.5445723239438114</v>
      </c>
      <c r="KK45" s="14">
        <v>1.6710022144185013</v>
      </c>
      <c r="KL45" s="14">
        <v>2.0479148120858177</v>
      </c>
      <c r="KM45" s="14">
        <v>2.0468921555624573</v>
      </c>
      <c r="KN45" s="14">
        <v>2.8550246105056094</v>
      </c>
      <c r="KO45" s="14">
        <v>2.2155235899999992</v>
      </c>
      <c r="KP45" s="14">
        <v>2.9595954489999952</v>
      </c>
      <c r="KQ45" s="14">
        <v>1.5374906689999999</v>
      </c>
      <c r="KR45" s="14">
        <v>2.042297064</v>
      </c>
      <c r="KS45" s="14">
        <v>2.1106516068129082</v>
      </c>
      <c r="KT45" s="14">
        <v>2.1829431780000008</v>
      </c>
      <c r="KU45" s="14">
        <v>1.6592484351176084</v>
      </c>
      <c r="KV45" s="14">
        <v>1.8225428570000004</v>
      </c>
      <c r="KW45" s="14">
        <v>1.8621458659999992</v>
      </c>
      <c r="KX45" s="14">
        <v>1.8181205364408439</v>
      </c>
      <c r="KY45" s="14">
        <v>2.5850821679999982</v>
      </c>
      <c r="KZ45" s="14">
        <v>1.5641970507398595</v>
      </c>
      <c r="LA45" s="14">
        <v>2.1850639730000014</v>
      </c>
      <c r="LB45" s="14">
        <v>2.1640740999999997</v>
      </c>
      <c r="LC45" s="14">
        <v>1.8054684610214145</v>
      </c>
      <c r="LD45" s="14">
        <v>2.0695510011667082</v>
      </c>
      <c r="LE45" s="14">
        <v>2.219384093624837</v>
      </c>
      <c r="LF45" s="14">
        <v>2.1358433938894454</v>
      </c>
      <c r="LG45" s="14">
        <v>2.2343346585468593</v>
      </c>
      <c r="LH45" s="14">
        <v>2.219919761357442</v>
      </c>
      <c r="LI45" s="14">
        <v>2.1530322820508863</v>
      </c>
      <c r="LJ45" s="14">
        <v>2.2070416434012037</v>
      </c>
      <c r="LK45" s="14">
        <v>2.5024552131172739</v>
      </c>
      <c r="LL45" s="14">
        <v>2.5797431864153544</v>
      </c>
      <c r="LM45" s="14">
        <v>2.3083874956410173</v>
      </c>
      <c r="LN45" s="14">
        <v>2.6754968761020752</v>
      </c>
      <c r="LO45" s="14">
        <v>1.9502362399999991</v>
      </c>
      <c r="LP45" s="14">
        <v>2.4669357600000037</v>
      </c>
      <c r="LQ45" s="14">
        <v>1.7437544300000007</v>
      </c>
      <c r="LR45" s="14">
        <v>2.5026119899999983</v>
      </c>
      <c r="LS45" s="14">
        <v>2.940722540000003</v>
      </c>
      <c r="LT45" s="14">
        <v>1.7967349899999989</v>
      </c>
      <c r="LU45" s="149"/>
    </row>
    <row r="46" spans="1:333" x14ac:dyDescent="0.3">
      <c r="A46" s="21" t="s">
        <v>36</v>
      </c>
      <c r="B46" s="21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4">
        <v>0</v>
      </c>
      <c r="CJ46" s="14">
        <v>0</v>
      </c>
      <c r="CK46" s="14">
        <v>0</v>
      </c>
      <c r="CL46" s="14">
        <v>0</v>
      </c>
      <c r="CM46" s="14">
        <v>0</v>
      </c>
      <c r="CN46" s="14">
        <v>0</v>
      </c>
      <c r="CO46" s="14">
        <v>0</v>
      </c>
      <c r="CP46" s="14">
        <v>0</v>
      </c>
      <c r="CQ46" s="14">
        <v>0</v>
      </c>
      <c r="CR46" s="14">
        <v>0</v>
      </c>
      <c r="CS46" s="14">
        <v>0</v>
      </c>
      <c r="CT46" s="14">
        <v>0</v>
      </c>
      <c r="CU46" s="14">
        <v>0</v>
      </c>
      <c r="CV46" s="14">
        <v>0</v>
      </c>
      <c r="CW46" s="14">
        <v>0</v>
      </c>
      <c r="CX46" s="14">
        <v>0</v>
      </c>
      <c r="CY46" s="14">
        <v>0</v>
      </c>
      <c r="CZ46" s="14">
        <v>0</v>
      </c>
      <c r="DA46" s="14">
        <v>0</v>
      </c>
      <c r="DB46" s="14">
        <v>0</v>
      </c>
      <c r="DC46" s="14">
        <v>0</v>
      </c>
      <c r="DD46" s="14">
        <v>0</v>
      </c>
      <c r="DE46" s="14">
        <v>0</v>
      </c>
      <c r="DF46" s="14">
        <v>0</v>
      </c>
      <c r="DG46" s="14">
        <v>0</v>
      </c>
      <c r="DH46" s="14">
        <v>0</v>
      </c>
      <c r="DI46" s="14">
        <v>0</v>
      </c>
      <c r="DJ46" s="14">
        <v>0</v>
      </c>
      <c r="DK46" s="14">
        <v>0</v>
      </c>
      <c r="DL46" s="14">
        <v>0</v>
      </c>
      <c r="DM46" s="14">
        <v>0</v>
      </c>
      <c r="DN46" s="14">
        <v>0</v>
      </c>
      <c r="DO46" s="14">
        <v>0</v>
      </c>
      <c r="DP46" s="14">
        <v>0</v>
      </c>
      <c r="DQ46" s="14">
        <v>0</v>
      </c>
      <c r="DR46" s="14">
        <v>0</v>
      </c>
      <c r="DS46" s="14">
        <v>0</v>
      </c>
      <c r="DT46" s="14">
        <v>0</v>
      </c>
      <c r="DU46" s="14">
        <v>0</v>
      </c>
      <c r="DV46" s="14">
        <v>0</v>
      </c>
      <c r="DW46" s="14">
        <v>0</v>
      </c>
      <c r="DX46" s="14">
        <v>0</v>
      </c>
      <c r="DY46" s="14">
        <v>0</v>
      </c>
      <c r="DZ46" s="14">
        <v>0</v>
      </c>
      <c r="EA46" s="14">
        <v>0</v>
      </c>
      <c r="EB46" s="14">
        <v>0</v>
      </c>
      <c r="EC46" s="14">
        <v>0</v>
      </c>
      <c r="ED46" s="14">
        <v>0</v>
      </c>
      <c r="EE46" s="14">
        <v>0</v>
      </c>
      <c r="EF46" s="14">
        <v>0</v>
      </c>
      <c r="EG46" s="14">
        <v>0</v>
      </c>
      <c r="EH46" s="14">
        <v>0</v>
      </c>
      <c r="EI46" s="14">
        <v>0</v>
      </c>
      <c r="EJ46" s="14">
        <v>0</v>
      </c>
      <c r="EK46" s="14">
        <v>0</v>
      </c>
      <c r="EL46" s="14">
        <v>0</v>
      </c>
      <c r="EM46" s="14">
        <v>0</v>
      </c>
      <c r="EN46" s="14">
        <v>0</v>
      </c>
      <c r="EO46" s="14">
        <v>0</v>
      </c>
      <c r="EP46" s="14">
        <v>0</v>
      </c>
      <c r="EQ46" s="14">
        <v>0</v>
      </c>
      <c r="ER46" s="14">
        <v>0</v>
      </c>
      <c r="ES46" s="14">
        <v>0</v>
      </c>
      <c r="ET46" s="14">
        <v>0</v>
      </c>
      <c r="EU46" s="14">
        <v>0</v>
      </c>
      <c r="EV46" s="14">
        <v>0</v>
      </c>
      <c r="EW46" s="14">
        <v>0</v>
      </c>
      <c r="EX46" s="14">
        <v>0</v>
      </c>
      <c r="EY46" s="14">
        <v>0</v>
      </c>
      <c r="EZ46" s="14">
        <v>0</v>
      </c>
      <c r="FA46" s="14">
        <v>0</v>
      </c>
      <c r="FB46" s="14">
        <v>0</v>
      </c>
      <c r="FC46" s="14">
        <v>0</v>
      </c>
      <c r="FD46" s="14">
        <v>0</v>
      </c>
      <c r="FE46" s="14">
        <v>0</v>
      </c>
      <c r="FF46" s="14">
        <v>0</v>
      </c>
      <c r="FG46" s="14">
        <v>0</v>
      </c>
      <c r="FH46" s="14">
        <v>0</v>
      </c>
      <c r="FI46" s="14">
        <v>0</v>
      </c>
      <c r="FJ46" s="14">
        <v>0</v>
      </c>
      <c r="FK46" s="14">
        <v>0</v>
      </c>
      <c r="FL46" s="14">
        <v>0</v>
      </c>
      <c r="FM46" s="14">
        <v>0</v>
      </c>
      <c r="FN46" s="14">
        <v>0</v>
      </c>
      <c r="FO46" s="14">
        <v>0</v>
      </c>
      <c r="FP46" s="14">
        <v>0</v>
      </c>
      <c r="FQ46" s="14">
        <v>0</v>
      </c>
      <c r="FR46" s="14">
        <v>0</v>
      </c>
      <c r="FS46" s="14">
        <v>0</v>
      </c>
      <c r="FT46" s="14">
        <v>0</v>
      </c>
      <c r="FU46" s="14">
        <v>0</v>
      </c>
      <c r="FV46" s="14">
        <v>0</v>
      </c>
      <c r="FW46" s="14">
        <v>0</v>
      </c>
      <c r="FX46" s="14">
        <v>0</v>
      </c>
      <c r="FY46" s="14">
        <v>0</v>
      </c>
      <c r="FZ46" s="14">
        <v>0</v>
      </c>
      <c r="GA46" s="14">
        <v>0</v>
      </c>
      <c r="GB46" s="14">
        <v>0</v>
      </c>
      <c r="GC46" s="14">
        <v>0</v>
      </c>
      <c r="GD46" s="14">
        <v>0</v>
      </c>
      <c r="GE46" s="14">
        <v>0</v>
      </c>
      <c r="GF46" s="14">
        <v>0</v>
      </c>
      <c r="GG46" s="14">
        <v>0</v>
      </c>
      <c r="GH46" s="14">
        <v>0</v>
      </c>
      <c r="GI46" s="14">
        <v>0</v>
      </c>
      <c r="GJ46" s="14">
        <v>0</v>
      </c>
      <c r="GK46" s="14">
        <v>0</v>
      </c>
      <c r="GL46" s="14">
        <v>0</v>
      </c>
      <c r="GM46" s="14">
        <v>0</v>
      </c>
      <c r="GN46" s="14">
        <v>0</v>
      </c>
      <c r="GO46" s="14">
        <v>0</v>
      </c>
      <c r="GP46" s="14">
        <v>2.5209999999999999</v>
      </c>
      <c r="GQ46" s="14">
        <v>2.9510000000000001</v>
      </c>
      <c r="GR46" s="14">
        <v>3.3879999999999999</v>
      </c>
      <c r="GS46" s="14">
        <v>4.3630000000000004</v>
      </c>
      <c r="GT46" s="14">
        <v>3.306</v>
      </c>
      <c r="GU46" s="14">
        <v>3.0539999999999998</v>
      </c>
      <c r="GV46" s="14">
        <v>2.492</v>
      </c>
      <c r="GW46" s="14">
        <v>1.911</v>
      </c>
      <c r="GX46" s="14">
        <v>5.2539999999999996</v>
      </c>
      <c r="GY46" s="14">
        <v>3.9609999999999999</v>
      </c>
      <c r="GZ46" s="14">
        <v>2.544</v>
      </c>
      <c r="HA46" s="14">
        <v>2.68</v>
      </c>
      <c r="HB46" s="14">
        <v>2.2229999999999999</v>
      </c>
      <c r="HC46" s="14">
        <v>3.1339999999999999</v>
      </c>
      <c r="HD46" s="14">
        <v>3.89</v>
      </c>
      <c r="HE46" s="14">
        <v>4.62</v>
      </c>
      <c r="HF46" s="14">
        <v>3.6739999999999999</v>
      </c>
      <c r="HG46" s="14">
        <v>3.1970000000000001</v>
      </c>
      <c r="HH46" s="14">
        <v>3.2530000000000001</v>
      </c>
      <c r="HI46" s="14">
        <v>2.9790000000000001</v>
      </c>
      <c r="HJ46" s="14">
        <v>3.8260000000000001</v>
      </c>
      <c r="HK46" s="14">
        <v>3.1880000000000002</v>
      </c>
      <c r="HL46" s="14">
        <v>3.52</v>
      </c>
      <c r="HM46" s="14">
        <v>3.6680000000000001</v>
      </c>
      <c r="HN46" s="14">
        <v>3.7839999999999998</v>
      </c>
      <c r="HO46" s="14">
        <v>4.2220000000000004</v>
      </c>
      <c r="HP46" s="14">
        <v>3.879</v>
      </c>
      <c r="HQ46" s="14">
        <v>5.133</v>
      </c>
      <c r="HR46" s="14">
        <v>5.3540000000000001</v>
      </c>
      <c r="HS46" s="14">
        <v>5.4790000000000001</v>
      </c>
      <c r="HT46" s="14">
        <v>6.258</v>
      </c>
      <c r="HU46" s="14">
        <v>5.27</v>
      </c>
      <c r="HV46" s="14">
        <v>6.383</v>
      </c>
      <c r="HW46" s="14">
        <v>3.996</v>
      </c>
      <c r="HX46" s="14">
        <v>4.415</v>
      </c>
      <c r="HY46" s="14">
        <v>4.8780000000000001</v>
      </c>
      <c r="HZ46" s="14">
        <v>3.5470000000000002</v>
      </c>
      <c r="IA46" s="14">
        <v>3.25</v>
      </c>
      <c r="IB46" s="14">
        <v>4.9009999999999998</v>
      </c>
      <c r="IC46" s="14">
        <v>4.5309441599999998</v>
      </c>
      <c r="ID46" s="14">
        <v>6.5460531599999916</v>
      </c>
      <c r="IE46" s="14">
        <v>8.1622976299999959</v>
      </c>
      <c r="IF46" s="14">
        <v>9.6065013500000038</v>
      </c>
      <c r="IG46" s="14">
        <v>8.9584378899999955</v>
      </c>
      <c r="IH46" s="14">
        <v>6.0910438800000009</v>
      </c>
      <c r="II46" s="14">
        <v>2.6675326199999994</v>
      </c>
      <c r="IJ46" s="14">
        <v>5.3326610199999989</v>
      </c>
      <c r="IK46" s="14">
        <v>5.1035991299999983</v>
      </c>
      <c r="IL46" s="14">
        <v>6.6645369899999993</v>
      </c>
      <c r="IM46" s="14">
        <v>9.1274490499999974</v>
      </c>
      <c r="IN46" s="14">
        <v>8.282791170000003</v>
      </c>
      <c r="IO46" s="14">
        <v>5.9448700899999993</v>
      </c>
      <c r="IP46" s="14">
        <v>5.6669233700000001</v>
      </c>
      <c r="IQ46" s="14">
        <v>10.25761106</v>
      </c>
      <c r="IR46" s="14">
        <v>10.74936009999999</v>
      </c>
      <c r="IS46" s="14">
        <v>17.437560930000011</v>
      </c>
      <c r="IT46" s="14">
        <v>18.030985090000005</v>
      </c>
      <c r="IU46" s="14">
        <v>11.040888099999993</v>
      </c>
      <c r="IV46" s="14">
        <v>12.745175760000008</v>
      </c>
      <c r="IW46" s="14">
        <v>9.326433779999995</v>
      </c>
      <c r="IX46" s="14">
        <v>5.6977845599999961</v>
      </c>
      <c r="IY46" s="14">
        <v>8.7646690800000062</v>
      </c>
      <c r="IZ46" s="14">
        <v>6.8242111899999989</v>
      </c>
      <c r="JA46" s="14">
        <v>8.2955795099999996</v>
      </c>
      <c r="JB46" s="14">
        <v>7.0945483799999991</v>
      </c>
      <c r="JC46" s="14">
        <v>9.439707959999998</v>
      </c>
      <c r="JD46" s="14">
        <v>10.403257430000011</v>
      </c>
      <c r="JE46" s="14">
        <v>6.2829877500000011</v>
      </c>
      <c r="JF46" s="14">
        <v>5.4812056499999997</v>
      </c>
      <c r="JG46" s="14">
        <v>5.235286509999999</v>
      </c>
      <c r="JH46" s="14">
        <v>6.9994687799999982</v>
      </c>
      <c r="JI46" s="14">
        <v>5.8954585499999963</v>
      </c>
      <c r="JJ46" s="14">
        <v>6.2514078900000003</v>
      </c>
      <c r="JK46" s="14">
        <v>6.6292895000000005</v>
      </c>
      <c r="JL46" s="14">
        <v>6.6055945899999964</v>
      </c>
      <c r="JM46" s="14">
        <v>4.379708897999997</v>
      </c>
      <c r="JN46" s="14">
        <v>6.2891609999999956</v>
      </c>
      <c r="JO46" s="14">
        <v>6.0888268810000072</v>
      </c>
      <c r="JP46" s="14">
        <v>5.7616970290000049</v>
      </c>
      <c r="JQ46" s="14">
        <v>4.9657384665776707</v>
      </c>
      <c r="JR46" s="14">
        <v>5.246693445736117</v>
      </c>
      <c r="JS46" s="14">
        <v>8.0619571692990455</v>
      </c>
      <c r="JT46" s="14">
        <v>7.5239545544321125</v>
      </c>
      <c r="JU46" s="14">
        <v>5.2372087715856281</v>
      </c>
      <c r="JV46" s="14">
        <v>5.4412497646339126</v>
      </c>
      <c r="JW46" s="14">
        <v>4.7571056965111733</v>
      </c>
      <c r="JX46" s="14">
        <v>5.5843936359570776</v>
      </c>
      <c r="JY46" s="14">
        <v>4.4342766367973034</v>
      </c>
      <c r="JZ46" s="14">
        <v>5.4647801038845918</v>
      </c>
      <c r="KA46" s="14">
        <v>7.6336682720000013</v>
      </c>
      <c r="KB46" s="14">
        <v>6.3821721192081995</v>
      </c>
      <c r="KC46" s="14">
        <v>5.6520550839769683</v>
      </c>
      <c r="KD46" s="14">
        <v>9.6446085436661377</v>
      </c>
      <c r="KE46" s="14">
        <v>7.8960679868798449</v>
      </c>
      <c r="KF46" s="14">
        <v>2.9474935179999999</v>
      </c>
      <c r="KG46" s="14">
        <v>4.4996224890000001</v>
      </c>
      <c r="KH46" s="14">
        <v>3.8957801489999992</v>
      </c>
      <c r="KI46" s="14">
        <v>4.1912311099196611</v>
      </c>
      <c r="KJ46" s="14">
        <v>3.7883269527251815</v>
      </c>
      <c r="KK46" s="14">
        <v>3.4538616830000133</v>
      </c>
      <c r="KL46" s="14">
        <v>2.2069712739999998</v>
      </c>
      <c r="KM46" s="14">
        <v>4.1230542470577021</v>
      </c>
      <c r="KN46" s="14">
        <v>6.1248844050000004</v>
      </c>
      <c r="KO46" s="14">
        <v>9.1826761799999961</v>
      </c>
      <c r="KP46" s="14">
        <v>9.1521881294052569</v>
      </c>
      <c r="KQ46" s="14">
        <v>5.1469091149999979</v>
      </c>
      <c r="KR46" s="14">
        <v>8.6066087740000015</v>
      </c>
      <c r="KS46" s="14">
        <v>11.588889515638867</v>
      </c>
      <c r="KT46" s="14">
        <v>12.78847451826246</v>
      </c>
      <c r="KU46" s="14">
        <v>13.734758630999998</v>
      </c>
      <c r="KV46" s="14">
        <v>14.392058669999999</v>
      </c>
      <c r="KW46" s="14">
        <v>7.4102097432103387</v>
      </c>
      <c r="KX46" s="14">
        <v>5.6257652380000014</v>
      </c>
      <c r="KY46" s="14">
        <v>10.309306955393319</v>
      </c>
      <c r="KZ46" s="14">
        <v>5.3965299001790044</v>
      </c>
      <c r="LA46" s="14">
        <v>24.72613455835042</v>
      </c>
      <c r="LB46" s="14">
        <v>6.9563762679999845</v>
      </c>
      <c r="LC46" s="14">
        <v>6.0144538659594735</v>
      </c>
      <c r="LD46" s="14">
        <v>4.6386933446129932</v>
      </c>
      <c r="LE46" s="14">
        <v>6.2496667007224156</v>
      </c>
      <c r="LF46" s="14">
        <v>5.1058364849306681</v>
      </c>
      <c r="LG46" s="14">
        <v>5.0061941057544361</v>
      </c>
      <c r="LH46" s="14">
        <v>4.2822465633908955</v>
      </c>
      <c r="LI46" s="14">
        <v>5.5307649381471347</v>
      </c>
      <c r="LJ46" s="14">
        <v>4.904451964532794</v>
      </c>
      <c r="LK46" s="14">
        <v>8.0001443069736933</v>
      </c>
      <c r="LL46" s="14">
        <v>9.4622113437700826</v>
      </c>
      <c r="LM46" s="14">
        <v>13.3050304735262</v>
      </c>
      <c r="LN46" s="14">
        <v>12.330882902345754</v>
      </c>
      <c r="LO46" s="14">
        <v>12.282195909999928</v>
      </c>
      <c r="LP46" s="14">
        <v>15.464119800000057</v>
      </c>
      <c r="LQ46" s="14">
        <v>12.046042809999957</v>
      </c>
      <c r="LR46" s="14">
        <v>2.895187340000001</v>
      </c>
      <c r="LS46" s="14">
        <v>7.1979575900000059</v>
      </c>
      <c r="LT46" s="14">
        <v>4.7436775000000067</v>
      </c>
      <c r="LU46" s="149"/>
    </row>
    <row r="47" spans="1:333" x14ac:dyDescent="0.3">
      <c r="A47" s="21" t="s">
        <v>37</v>
      </c>
      <c r="B47" s="21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4">
        <v>0</v>
      </c>
      <c r="CJ47" s="14">
        <v>0</v>
      </c>
      <c r="CK47" s="14">
        <v>0</v>
      </c>
      <c r="CL47" s="14">
        <v>0</v>
      </c>
      <c r="CM47" s="14">
        <v>0</v>
      </c>
      <c r="CN47" s="14">
        <v>0</v>
      </c>
      <c r="CO47" s="14">
        <v>0</v>
      </c>
      <c r="CP47" s="14">
        <v>0</v>
      </c>
      <c r="CQ47" s="14">
        <v>0</v>
      </c>
      <c r="CR47" s="14">
        <v>0</v>
      </c>
      <c r="CS47" s="14">
        <v>0</v>
      </c>
      <c r="CT47" s="14">
        <v>0</v>
      </c>
      <c r="CU47" s="14">
        <v>0</v>
      </c>
      <c r="CV47" s="14">
        <v>0</v>
      </c>
      <c r="CW47" s="14">
        <v>0</v>
      </c>
      <c r="CX47" s="14">
        <v>0</v>
      </c>
      <c r="CY47" s="14">
        <v>0</v>
      </c>
      <c r="CZ47" s="14">
        <v>0</v>
      </c>
      <c r="DA47" s="14">
        <v>0</v>
      </c>
      <c r="DB47" s="14">
        <v>0</v>
      </c>
      <c r="DC47" s="14">
        <v>0</v>
      </c>
      <c r="DD47" s="14">
        <v>0</v>
      </c>
      <c r="DE47" s="14">
        <v>0</v>
      </c>
      <c r="DF47" s="14">
        <v>0</v>
      </c>
      <c r="DG47" s="14">
        <v>0</v>
      </c>
      <c r="DH47" s="14">
        <v>0</v>
      </c>
      <c r="DI47" s="14">
        <v>0</v>
      </c>
      <c r="DJ47" s="14">
        <v>0</v>
      </c>
      <c r="DK47" s="14">
        <v>0</v>
      </c>
      <c r="DL47" s="14">
        <v>0</v>
      </c>
      <c r="DM47" s="14">
        <v>0</v>
      </c>
      <c r="DN47" s="14">
        <v>0</v>
      </c>
      <c r="DO47" s="14">
        <v>0</v>
      </c>
      <c r="DP47" s="14">
        <v>0</v>
      </c>
      <c r="DQ47" s="14">
        <v>0</v>
      </c>
      <c r="DR47" s="14">
        <v>0</v>
      </c>
      <c r="DS47" s="14">
        <v>0</v>
      </c>
      <c r="DT47" s="14">
        <v>0</v>
      </c>
      <c r="DU47" s="14">
        <v>0</v>
      </c>
      <c r="DV47" s="14">
        <v>0</v>
      </c>
      <c r="DW47" s="14">
        <v>0</v>
      </c>
      <c r="DX47" s="14">
        <v>0</v>
      </c>
      <c r="DY47" s="14">
        <v>0</v>
      </c>
      <c r="DZ47" s="14">
        <v>0</v>
      </c>
      <c r="EA47" s="14">
        <v>0</v>
      </c>
      <c r="EB47" s="14">
        <v>0</v>
      </c>
      <c r="EC47" s="14">
        <v>0</v>
      </c>
      <c r="ED47" s="14">
        <v>0</v>
      </c>
      <c r="EE47" s="14">
        <v>0</v>
      </c>
      <c r="EF47" s="14">
        <v>0</v>
      </c>
      <c r="EG47" s="14">
        <v>0</v>
      </c>
      <c r="EH47" s="14">
        <v>0</v>
      </c>
      <c r="EI47" s="14">
        <v>0</v>
      </c>
      <c r="EJ47" s="14">
        <v>0</v>
      </c>
      <c r="EK47" s="14">
        <v>0</v>
      </c>
      <c r="EL47" s="14">
        <v>0</v>
      </c>
      <c r="EM47" s="14">
        <v>0</v>
      </c>
      <c r="EN47" s="14">
        <v>0</v>
      </c>
      <c r="EO47" s="14">
        <v>0</v>
      </c>
      <c r="EP47" s="14">
        <v>0</v>
      </c>
      <c r="EQ47" s="14">
        <v>0</v>
      </c>
      <c r="ER47" s="14">
        <v>0</v>
      </c>
      <c r="ES47" s="14">
        <v>0</v>
      </c>
      <c r="ET47" s="14">
        <v>0</v>
      </c>
      <c r="EU47" s="14">
        <v>0</v>
      </c>
      <c r="EV47" s="14">
        <v>0</v>
      </c>
      <c r="EW47" s="14">
        <v>0</v>
      </c>
      <c r="EX47" s="14">
        <v>0</v>
      </c>
      <c r="EY47" s="14">
        <v>0</v>
      </c>
      <c r="EZ47" s="14">
        <v>0</v>
      </c>
      <c r="FA47" s="14">
        <v>0</v>
      </c>
      <c r="FB47" s="14">
        <v>0</v>
      </c>
      <c r="FC47" s="14">
        <v>0</v>
      </c>
      <c r="FD47" s="14">
        <v>0</v>
      </c>
      <c r="FE47" s="14">
        <v>0</v>
      </c>
      <c r="FF47" s="14">
        <v>0</v>
      </c>
      <c r="FG47" s="14">
        <v>0</v>
      </c>
      <c r="FH47" s="14">
        <v>0</v>
      </c>
      <c r="FI47" s="14">
        <v>0</v>
      </c>
      <c r="FJ47" s="14">
        <v>0</v>
      </c>
      <c r="FK47" s="14">
        <v>0</v>
      </c>
      <c r="FL47" s="14">
        <v>0</v>
      </c>
      <c r="FM47" s="14">
        <v>0</v>
      </c>
      <c r="FN47" s="14">
        <v>0</v>
      </c>
      <c r="FO47" s="14">
        <v>0</v>
      </c>
      <c r="FP47" s="14">
        <v>0</v>
      </c>
      <c r="FQ47" s="14">
        <v>0</v>
      </c>
      <c r="FR47" s="14">
        <v>0</v>
      </c>
      <c r="FS47" s="14">
        <v>0</v>
      </c>
      <c r="FT47" s="14">
        <v>0</v>
      </c>
      <c r="FU47" s="14">
        <v>0</v>
      </c>
      <c r="FV47" s="14">
        <v>0</v>
      </c>
      <c r="FW47" s="14">
        <v>0</v>
      </c>
      <c r="FX47" s="14">
        <v>0</v>
      </c>
      <c r="FY47" s="14">
        <v>0</v>
      </c>
      <c r="FZ47" s="14">
        <v>0</v>
      </c>
      <c r="GA47" s="14">
        <v>0</v>
      </c>
      <c r="GB47" s="14">
        <v>0</v>
      </c>
      <c r="GC47" s="14">
        <v>0</v>
      </c>
      <c r="GD47" s="14">
        <v>0</v>
      </c>
      <c r="GE47" s="14">
        <v>0</v>
      </c>
      <c r="GF47" s="14">
        <v>0</v>
      </c>
      <c r="GG47" s="14">
        <v>0</v>
      </c>
      <c r="GH47" s="14">
        <v>0</v>
      </c>
      <c r="GI47" s="14">
        <v>0</v>
      </c>
      <c r="GJ47" s="14">
        <v>0</v>
      </c>
      <c r="GK47" s="14">
        <v>0</v>
      </c>
      <c r="GL47" s="14">
        <v>0</v>
      </c>
      <c r="GM47" s="14">
        <v>0</v>
      </c>
      <c r="GN47" s="14">
        <v>0</v>
      </c>
      <c r="GO47" s="14">
        <v>0</v>
      </c>
      <c r="GP47" s="14">
        <v>0.27600000000000002</v>
      </c>
      <c r="GQ47" s="14">
        <v>0</v>
      </c>
      <c r="GR47" s="14">
        <v>0.107</v>
      </c>
      <c r="GS47" s="14">
        <v>0</v>
      </c>
      <c r="GT47" s="14">
        <v>0</v>
      </c>
      <c r="GU47" s="14">
        <v>0</v>
      </c>
      <c r="GV47" s="14">
        <v>0</v>
      </c>
      <c r="GW47" s="14">
        <v>0</v>
      </c>
      <c r="GX47" s="14">
        <v>0</v>
      </c>
      <c r="GY47" s="14">
        <v>0</v>
      </c>
      <c r="GZ47" s="14">
        <v>7.6999999999999999E-2</v>
      </c>
      <c r="HA47" s="14">
        <v>3.0000000000000001E-3</v>
      </c>
      <c r="HB47" s="14">
        <v>1.0999999999999999E-2</v>
      </c>
      <c r="HC47" s="14">
        <v>7.0000000000000007E-2</v>
      </c>
      <c r="HD47" s="14">
        <v>0</v>
      </c>
      <c r="HE47" s="14">
        <v>1.0999999999999999E-2</v>
      </c>
      <c r="HF47" s="14">
        <v>2.1999999999999999E-2</v>
      </c>
      <c r="HG47" s="14">
        <v>0</v>
      </c>
      <c r="HH47" s="14">
        <v>0</v>
      </c>
      <c r="HI47" s="14">
        <v>0</v>
      </c>
      <c r="HJ47" s="14">
        <v>0</v>
      </c>
      <c r="HK47" s="14">
        <v>8.5999999999999993E-2</v>
      </c>
      <c r="HL47" s="14">
        <v>5.7000000000000002E-2</v>
      </c>
      <c r="HM47" s="14">
        <v>0</v>
      </c>
      <c r="HN47" s="14">
        <v>0</v>
      </c>
      <c r="HO47" s="14">
        <v>0</v>
      </c>
      <c r="HP47" s="14">
        <v>0</v>
      </c>
      <c r="HQ47" s="14">
        <v>0</v>
      </c>
      <c r="HR47" s="14">
        <v>0</v>
      </c>
      <c r="HS47" s="14">
        <v>0</v>
      </c>
      <c r="HT47" s="14">
        <v>0</v>
      </c>
      <c r="HU47" s="14">
        <v>0</v>
      </c>
      <c r="HV47" s="14">
        <v>0</v>
      </c>
      <c r="HW47" s="14">
        <v>0</v>
      </c>
      <c r="HX47" s="14">
        <v>0</v>
      </c>
      <c r="HY47" s="14">
        <v>0</v>
      </c>
      <c r="HZ47" s="14">
        <v>0</v>
      </c>
      <c r="IA47" s="14">
        <v>0</v>
      </c>
      <c r="IB47" s="14">
        <v>0</v>
      </c>
      <c r="IC47" s="14">
        <v>0</v>
      </c>
      <c r="ID47" s="14">
        <v>0</v>
      </c>
      <c r="IE47" s="14">
        <v>0</v>
      </c>
      <c r="IF47" s="14">
        <v>0</v>
      </c>
      <c r="IG47" s="14">
        <v>0</v>
      </c>
      <c r="IH47" s="14">
        <v>0</v>
      </c>
      <c r="II47" s="14">
        <v>0</v>
      </c>
      <c r="IJ47" s="14">
        <v>0</v>
      </c>
      <c r="IK47" s="14">
        <v>0</v>
      </c>
      <c r="IL47" s="14">
        <v>0</v>
      </c>
      <c r="IM47" s="14">
        <v>0</v>
      </c>
      <c r="IN47" s="14">
        <v>0</v>
      </c>
      <c r="IO47" s="14">
        <v>0</v>
      </c>
      <c r="IP47" s="14">
        <v>0</v>
      </c>
      <c r="IQ47" s="14">
        <v>0</v>
      </c>
      <c r="IR47" s="14">
        <v>0</v>
      </c>
      <c r="IS47" s="14">
        <v>0</v>
      </c>
      <c r="IT47" s="14">
        <v>0</v>
      </c>
      <c r="IU47" s="14">
        <v>0</v>
      </c>
      <c r="IV47" s="14">
        <v>0</v>
      </c>
      <c r="IW47" s="14">
        <v>0</v>
      </c>
      <c r="IX47" s="14">
        <v>0</v>
      </c>
      <c r="IY47" s="14">
        <v>0</v>
      </c>
      <c r="IZ47" s="14">
        <v>0</v>
      </c>
      <c r="JA47" s="14">
        <v>0</v>
      </c>
      <c r="JB47" s="14">
        <v>0</v>
      </c>
      <c r="JC47" s="14">
        <v>0</v>
      </c>
      <c r="JD47" s="14">
        <v>0</v>
      </c>
      <c r="JE47" s="14">
        <v>0</v>
      </c>
      <c r="JF47" s="14">
        <v>0</v>
      </c>
      <c r="JG47" s="14">
        <v>0</v>
      </c>
      <c r="JH47" s="14">
        <v>0</v>
      </c>
      <c r="JI47" s="14">
        <v>0</v>
      </c>
      <c r="JJ47" s="14">
        <v>0</v>
      </c>
      <c r="JK47" s="14">
        <v>0</v>
      </c>
      <c r="JL47" s="14">
        <v>0</v>
      </c>
      <c r="JM47" s="14">
        <v>0</v>
      </c>
      <c r="JN47" s="14">
        <v>0</v>
      </c>
      <c r="JO47" s="14">
        <v>0</v>
      </c>
      <c r="JP47" s="14">
        <v>0</v>
      </c>
      <c r="JQ47" s="14">
        <v>0</v>
      </c>
      <c r="JR47" s="14">
        <v>0</v>
      </c>
      <c r="JS47" s="14">
        <v>0</v>
      </c>
      <c r="JT47" s="14">
        <v>0</v>
      </c>
      <c r="JU47" s="14">
        <v>0</v>
      </c>
      <c r="JV47" s="14">
        <v>0</v>
      </c>
      <c r="JW47" s="14">
        <v>0</v>
      </c>
      <c r="JX47" s="14">
        <v>0</v>
      </c>
      <c r="JY47" s="14">
        <v>0</v>
      </c>
      <c r="JZ47" s="14">
        <v>0</v>
      </c>
      <c r="KA47" s="14">
        <v>0</v>
      </c>
      <c r="KB47" s="14">
        <v>0</v>
      </c>
      <c r="KC47" s="14">
        <v>0</v>
      </c>
      <c r="KD47" s="14">
        <v>0</v>
      </c>
      <c r="KE47" s="14">
        <v>0</v>
      </c>
      <c r="KF47" s="14">
        <v>0</v>
      </c>
      <c r="KG47" s="14">
        <v>0</v>
      </c>
      <c r="KH47" s="14">
        <v>0</v>
      </c>
      <c r="KI47" s="14">
        <v>0</v>
      </c>
      <c r="KJ47" s="14">
        <v>0</v>
      </c>
      <c r="KK47" s="14">
        <v>0</v>
      </c>
      <c r="KL47" s="14">
        <v>0</v>
      </c>
      <c r="KM47" s="14">
        <v>0</v>
      </c>
      <c r="KN47" s="14">
        <v>0</v>
      </c>
      <c r="KO47" s="14">
        <v>0</v>
      </c>
      <c r="KP47" s="14">
        <v>0</v>
      </c>
      <c r="KQ47" s="14">
        <v>0</v>
      </c>
      <c r="KR47" s="14">
        <v>0</v>
      </c>
      <c r="KS47" s="14">
        <v>0</v>
      </c>
      <c r="KT47" s="14">
        <v>0</v>
      </c>
      <c r="KU47" s="14">
        <v>0</v>
      </c>
      <c r="KV47" s="14">
        <v>0</v>
      </c>
      <c r="KW47" s="14">
        <v>0</v>
      </c>
      <c r="KX47" s="14">
        <v>0</v>
      </c>
      <c r="KY47" s="14">
        <v>0</v>
      </c>
      <c r="KZ47" s="14">
        <v>0</v>
      </c>
      <c r="LA47" s="14">
        <v>0</v>
      </c>
      <c r="LB47" s="14">
        <v>0</v>
      </c>
      <c r="LC47" s="14">
        <v>0</v>
      </c>
      <c r="LD47" s="14">
        <v>0</v>
      </c>
      <c r="LE47" s="14">
        <v>0</v>
      </c>
      <c r="LF47" s="14">
        <v>0</v>
      </c>
      <c r="LG47" s="14">
        <v>0</v>
      </c>
      <c r="LH47" s="14">
        <v>0</v>
      </c>
      <c r="LI47" s="14">
        <v>0</v>
      </c>
      <c r="LJ47" s="14">
        <v>0</v>
      </c>
      <c r="LK47" s="14">
        <v>0</v>
      </c>
      <c r="LL47" s="14">
        <v>0</v>
      </c>
      <c r="LM47" s="14">
        <v>0</v>
      </c>
      <c r="LN47" s="14">
        <v>0</v>
      </c>
      <c r="LO47" s="14">
        <v>0</v>
      </c>
      <c r="LP47" s="14">
        <v>0</v>
      </c>
      <c r="LQ47" s="14">
        <v>0</v>
      </c>
      <c r="LR47" s="14">
        <v>0</v>
      </c>
      <c r="LS47" s="14">
        <v>0</v>
      </c>
      <c r="LT47" s="14">
        <v>0</v>
      </c>
      <c r="LU47" s="149"/>
    </row>
    <row r="48" spans="1:333" x14ac:dyDescent="0.3">
      <c r="A48" s="20" t="s">
        <v>38</v>
      </c>
      <c r="B48" s="20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4">
        <v>0</v>
      </c>
      <c r="CJ48" s="14">
        <v>0</v>
      </c>
      <c r="CK48" s="14">
        <v>0</v>
      </c>
      <c r="CL48" s="14">
        <v>0</v>
      </c>
      <c r="CM48" s="14">
        <v>0</v>
      </c>
      <c r="CN48" s="14">
        <v>0.68600000000000005</v>
      </c>
      <c r="CO48" s="14">
        <v>0</v>
      </c>
      <c r="CP48" s="14">
        <v>0</v>
      </c>
      <c r="CQ48" s="14">
        <v>6.0000000000000001E-3</v>
      </c>
      <c r="CR48" s="14">
        <v>0</v>
      </c>
      <c r="CS48" s="14">
        <v>0</v>
      </c>
      <c r="CT48" s="14">
        <v>0</v>
      </c>
      <c r="CU48" s="14">
        <v>0.01</v>
      </c>
      <c r="CV48" s="14">
        <v>0</v>
      </c>
      <c r="CW48" s="14">
        <v>0</v>
      </c>
      <c r="CX48" s="14">
        <v>0</v>
      </c>
      <c r="CY48" s="14">
        <v>0</v>
      </c>
      <c r="CZ48" s="14">
        <v>5.4997999999999998E-2</v>
      </c>
      <c r="DA48" s="14">
        <v>0</v>
      </c>
      <c r="DB48" s="14">
        <v>0</v>
      </c>
      <c r="DC48" s="14">
        <v>0</v>
      </c>
      <c r="DD48" s="14">
        <v>0</v>
      </c>
      <c r="DE48" s="14">
        <v>0</v>
      </c>
      <c r="DF48" s="14">
        <v>0</v>
      </c>
      <c r="DG48" s="14">
        <v>0</v>
      </c>
      <c r="DH48" s="14">
        <v>0</v>
      </c>
      <c r="DI48" s="14">
        <v>0.22500000000000001</v>
      </c>
      <c r="DJ48" s="14">
        <v>0.375</v>
      </c>
      <c r="DK48" s="14">
        <v>1.0449999999999999</v>
      </c>
      <c r="DL48" s="14">
        <v>7.4999999999999997E-2</v>
      </c>
      <c r="DM48" s="14">
        <v>0.156</v>
      </c>
      <c r="DN48" s="14">
        <v>0</v>
      </c>
      <c r="DO48" s="14">
        <v>0</v>
      </c>
      <c r="DP48" s="14">
        <v>1.7769999999999999</v>
      </c>
      <c r="DQ48" s="14">
        <v>0.10400000000000001</v>
      </c>
      <c r="DR48" s="14">
        <v>3.1E-2</v>
      </c>
      <c r="DS48" s="14">
        <v>0.39500000000000002</v>
      </c>
      <c r="DT48" s="14">
        <v>0.63400000000000001</v>
      </c>
      <c r="DU48" s="14">
        <v>0.52500000000000002</v>
      </c>
      <c r="DV48" s="14">
        <v>0.63600000000000001</v>
      </c>
      <c r="DW48" s="14">
        <v>0.51</v>
      </c>
      <c r="DX48" s="14">
        <v>0.38500000000000001</v>
      </c>
      <c r="DY48" s="14">
        <v>0</v>
      </c>
      <c r="DZ48" s="14">
        <v>0.09</v>
      </c>
      <c r="EA48" s="14">
        <v>0.6</v>
      </c>
      <c r="EB48" s="14">
        <v>0.90500000000000003</v>
      </c>
      <c r="EC48" s="14">
        <v>0.17499999999999999</v>
      </c>
      <c r="ED48" s="14">
        <v>0</v>
      </c>
      <c r="EE48" s="14">
        <v>0.09</v>
      </c>
      <c r="EF48" s="14">
        <v>0.224</v>
      </c>
      <c r="EG48" s="14">
        <v>3.86</v>
      </c>
      <c r="EH48" s="14">
        <v>1.4359999999999999</v>
      </c>
      <c r="EI48" s="14">
        <v>0.38600000000000001</v>
      </c>
      <c r="EJ48" s="14">
        <v>3.9E-2</v>
      </c>
      <c r="EK48" s="14">
        <v>0</v>
      </c>
      <c r="EL48" s="14">
        <v>0.26</v>
      </c>
      <c r="EM48" s="14">
        <v>0.26</v>
      </c>
      <c r="EN48" s="14">
        <v>1.452</v>
      </c>
      <c r="EO48" s="14">
        <v>0.03</v>
      </c>
      <c r="EP48" s="14">
        <v>0</v>
      </c>
      <c r="EQ48" s="14">
        <v>0</v>
      </c>
      <c r="ER48" s="14">
        <v>4.7720000000000002</v>
      </c>
      <c r="ES48" s="14">
        <v>3.9380000000000002</v>
      </c>
      <c r="ET48" s="14">
        <v>0.33800000000000002</v>
      </c>
      <c r="EU48" s="14">
        <v>0.24399999999999999</v>
      </c>
      <c r="EV48" s="14">
        <v>0.22900000000000001</v>
      </c>
      <c r="EW48" s="14">
        <v>1.7110000000000001</v>
      </c>
      <c r="EX48" s="14">
        <v>0.873</v>
      </c>
      <c r="EY48" s="14">
        <v>0.14299999999999999</v>
      </c>
      <c r="EZ48" s="14">
        <v>7.0000000000000001E-3</v>
      </c>
      <c r="FA48" s="14">
        <v>8.6999999999999994E-2</v>
      </c>
      <c r="FB48" s="14">
        <v>0.33300000000000002</v>
      </c>
      <c r="FC48" s="14">
        <v>0</v>
      </c>
      <c r="FD48" s="14">
        <v>1.0229999999999999</v>
      </c>
      <c r="FE48" s="14">
        <v>0.46100000000000002</v>
      </c>
      <c r="FF48" s="14">
        <v>0.47399999999999998</v>
      </c>
      <c r="FG48" s="14">
        <v>0.33100000000000002</v>
      </c>
      <c r="FH48" s="14">
        <v>0.41899999999999998</v>
      </c>
      <c r="FI48" s="14">
        <v>5.8000000000000003E-2</v>
      </c>
      <c r="FJ48" s="14">
        <v>5.5E-2</v>
      </c>
      <c r="FK48" s="14">
        <v>0.97699999999999998</v>
      </c>
      <c r="FL48" s="14">
        <v>0.33</v>
      </c>
      <c r="FM48" s="14">
        <v>0.55400000000000005</v>
      </c>
      <c r="FN48" s="14">
        <v>0.380996</v>
      </c>
      <c r="FO48" s="14">
        <v>8.6999999999999994E-2</v>
      </c>
      <c r="FP48" s="14">
        <v>0.112</v>
      </c>
      <c r="FQ48" s="14">
        <v>0.94799999999999995</v>
      </c>
      <c r="FR48" s="14">
        <v>0.52</v>
      </c>
      <c r="FS48" s="14">
        <v>1.1599999999999999</v>
      </c>
      <c r="FT48" s="14">
        <v>0.94399999999999995</v>
      </c>
      <c r="FU48" s="14">
        <v>0.312</v>
      </c>
      <c r="FV48" s="14">
        <v>0.79100000000000004</v>
      </c>
      <c r="FW48" s="14">
        <v>0.77</v>
      </c>
      <c r="FX48" s="14">
        <v>0.442</v>
      </c>
      <c r="FY48" s="14">
        <v>1.7000000000000001E-2</v>
      </c>
      <c r="FZ48" s="14">
        <v>6.5000000000000002E-2</v>
      </c>
      <c r="GA48" s="14">
        <v>0.75600000000000001</v>
      </c>
      <c r="GB48" s="14">
        <v>0.05</v>
      </c>
      <c r="GC48" s="14">
        <v>0.42499999999999999</v>
      </c>
      <c r="GD48" s="14">
        <v>0.29599999999999999</v>
      </c>
      <c r="GE48" s="14">
        <v>0.255</v>
      </c>
      <c r="GF48" s="14">
        <v>0.64300000000000002</v>
      </c>
      <c r="GG48" s="14">
        <v>0.80500000000000005</v>
      </c>
      <c r="GH48" s="14">
        <v>0.17100000000000001</v>
      </c>
      <c r="GI48" s="14">
        <v>7.5999999999999998E-2</v>
      </c>
      <c r="GJ48" s="14">
        <v>0.55200000000000005</v>
      </c>
      <c r="GK48" s="14">
        <v>0.499</v>
      </c>
      <c r="GL48" s="14">
        <v>0.84099999999999997</v>
      </c>
      <c r="GM48" s="14">
        <v>0.56000000000000005</v>
      </c>
      <c r="GN48" s="14">
        <v>0.39</v>
      </c>
      <c r="GO48" s="14">
        <v>0.46100000000000002</v>
      </c>
      <c r="GP48" s="14">
        <v>0.41799999999999998</v>
      </c>
      <c r="GQ48" s="14">
        <v>1.105</v>
      </c>
      <c r="GR48" s="14">
        <v>0.38300000000000001</v>
      </c>
      <c r="GS48" s="14">
        <v>7.0000000000000001E-3</v>
      </c>
      <c r="GT48" s="14">
        <v>0.55800000000000005</v>
      </c>
      <c r="GU48" s="14">
        <v>0.14699999999999999</v>
      </c>
      <c r="GV48" s="14">
        <v>0.38400000000000001</v>
      </c>
      <c r="GW48" s="14">
        <v>0.66</v>
      </c>
      <c r="GX48" s="14">
        <v>0.39700000000000002</v>
      </c>
      <c r="GY48" s="14">
        <v>6.6000000000000003E-2</v>
      </c>
      <c r="GZ48" s="14">
        <v>2.5000000000000001E-2</v>
      </c>
      <c r="HA48" s="14">
        <v>0.151</v>
      </c>
      <c r="HB48" s="14">
        <v>0.57399999999999995</v>
      </c>
      <c r="HC48" s="14">
        <v>0</v>
      </c>
      <c r="HD48" s="14">
        <v>0.115</v>
      </c>
      <c r="HE48" s="14">
        <v>0.95499999999999996</v>
      </c>
      <c r="HF48" s="14">
        <v>1.6E-2</v>
      </c>
      <c r="HG48" s="14">
        <v>0.88500000000000001</v>
      </c>
      <c r="HH48" s="14">
        <v>0.56399999999999995</v>
      </c>
      <c r="HI48" s="14">
        <v>0.16500000000000001</v>
      </c>
      <c r="HJ48" s="14">
        <v>1.2E-2</v>
      </c>
      <c r="HK48" s="14">
        <v>0.73899999999999999</v>
      </c>
      <c r="HL48" s="14">
        <v>5.5E-2</v>
      </c>
      <c r="HM48" s="14">
        <v>0.23</v>
      </c>
      <c r="HN48" s="14">
        <v>0.59699999999999998</v>
      </c>
      <c r="HO48" s="14">
        <v>0.23300000000000001</v>
      </c>
      <c r="HP48" s="14">
        <v>0.44900000000000001</v>
      </c>
      <c r="HQ48" s="14">
        <v>0.51400000000000001</v>
      </c>
      <c r="HR48" s="14">
        <v>0.182</v>
      </c>
      <c r="HS48" s="14">
        <v>5.6000000000000001E-2</v>
      </c>
      <c r="HT48" s="14">
        <v>0.52300000000000002</v>
      </c>
      <c r="HU48" s="14">
        <v>0.73099999999999998</v>
      </c>
      <c r="HV48" s="14">
        <v>3.7999999999999999E-2</v>
      </c>
      <c r="HW48" s="14">
        <v>0.16200000000000001</v>
      </c>
      <c r="HX48" s="14">
        <v>8.2000000000000003E-2</v>
      </c>
      <c r="HY48" s="14">
        <v>0.75900000000000001</v>
      </c>
      <c r="HZ48" s="14">
        <v>0.75</v>
      </c>
      <c r="IA48" s="14">
        <v>0.308</v>
      </c>
      <c r="IB48" s="14">
        <v>0.245</v>
      </c>
      <c r="IC48" s="14">
        <v>2.9947130000000002E-2</v>
      </c>
      <c r="ID48" s="14">
        <v>0.16067629999999999</v>
      </c>
      <c r="IE48" s="14">
        <v>0.64359126</v>
      </c>
      <c r="IF48" s="14">
        <v>6.6746959999999994E-2</v>
      </c>
      <c r="IG48" s="14">
        <v>0.23186224999999999</v>
      </c>
      <c r="IH48" s="14">
        <v>6.4312080000000008E-2</v>
      </c>
      <c r="II48" s="14">
        <v>9.0249079999999995E-2</v>
      </c>
      <c r="IJ48" s="14">
        <v>1.560309E-2</v>
      </c>
      <c r="IK48" s="14">
        <v>0.52678252000000003</v>
      </c>
      <c r="IL48" s="14">
        <v>0.93573980000000001</v>
      </c>
      <c r="IM48" s="14">
        <v>7.724752E-2</v>
      </c>
      <c r="IN48" s="14">
        <v>0.14864015999999997</v>
      </c>
      <c r="IO48" s="14">
        <v>1.5336290000000001E-2</v>
      </c>
      <c r="IP48" s="14">
        <v>8.3715589999999993E-2</v>
      </c>
      <c r="IQ48" s="14">
        <v>0.44892669000000002</v>
      </c>
      <c r="IR48" s="14">
        <v>0.83430163000000002</v>
      </c>
      <c r="IS48" s="14">
        <v>0.21161484999999999</v>
      </c>
      <c r="IT48" s="14">
        <v>0.26273832000000003</v>
      </c>
      <c r="IU48" s="14">
        <v>0</v>
      </c>
      <c r="IV48" s="14">
        <v>0</v>
      </c>
      <c r="IW48" s="14">
        <v>0</v>
      </c>
      <c r="IX48" s="14">
        <v>0</v>
      </c>
      <c r="IY48" s="14">
        <v>0</v>
      </c>
      <c r="IZ48" s="14">
        <v>0</v>
      </c>
      <c r="JA48" s="14">
        <v>0</v>
      </c>
      <c r="JB48" s="14">
        <v>0</v>
      </c>
      <c r="JC48" s="14">
        <v>0</v>
      </c>
      <c r="JD48" s="14">
        <v>0</v>
      </c>
      <c r="JE48" s="14">
        <v>0.10020999999999999</v>
      </c>
      <c r="JF48" s="14">
        <v>0</v>
      </c>
      <c r="JG48" s="14">
        <v>1.4782999999999999E-2</v>
      </c>
      <c r="JH48" s="14">
        <v>1.757324E-2</v>
      </c>
      <c r="JI48" s="14">
        <v>0</v>
      </c>
      <c r="JJ48" s="14">
        <v>0</v>
      </c>
      <c r="JK48" s="14">
        <v>0</v>
      </c>
      <c r="JL48" s="14">
        <v>0</v>
      </c>
      <c r="JM48" s="14">
        <v>5.6836999999999999E-2</v>
      </c>
      <c r="JN48" s="14">
        <v>2.0570415000000002E-2</v>
      </c>
      <c r="JO48" s="14">
        <v>0.81100577099999993</v>
      </c>
      <c r="JP48" s="14">
        <v>7.4999999999999997E-3</v>
      </c>
      <c r="JQ48" s="14">
        <v>0.11345893</v>
      </c>
      <c r="JR48" s="14">
        <v>0.326438063</v>
      </c>
      <c r="JS48" s="14">
        <v>2.5810586E-2</v>
      </c>
      <c r="JT48" s="14">
        <v>1.0921187939999999</v>
      </c>
      <c r="JU48" s="14">
        <v>0.13046329600000001</v>
      </c>
      <c r="JV48" s="14">
        <v>0.12838269375241879</v>
      </c>
      <c r="JW48" s="14">
        <v>2.5443160999999999E-2</v>
      </c>
      <c r="JX48" s="14">
        <v>4.3000233926956408E-3</v>
      </c>
      <c r="JY48" s="14">
        <v>7.9057255996624359E-2</v>
      </c>
      <c r="JZ48" s="14">
        <v>3.5999999999999997E-2</v>
      </c>
      <c r="KA48" s="14">
        <v>3.9124552E-2</v>
      </c>
      <c r="KB48" s="14">
        <v>9.7115999999999994E-2</v>
      </c>
      <c r="KC48" s="14">
        <v>0.49973764100000001</v>
      </c>
      <c r="KD48" s="14">
        <v>0.3009181219615622</v>
      </c>
      <c r="KE48" s="14">
        <v>0.16486999999999999</v>
      </c>
      <c r="KF48" s="14">
        <v>0.35276623499999998</v>
      </c>
      <c r="KG48" s="14">
        <v>0.64599049200000014</v>
      </c>
      <c r="KH48" s="14">
        <v>0.123502851</v>
      </c>
      <c r="KI48" s="14">
        <v>0.48267850000000001</v>
      </c>
      <c r="KJ48" s="14">
        <v>0.63494424099999991</v>
      </c>
      <c r="KK48" s="14">
        <v>0.49940698799999989</v>
      </c>
      <c r="KL48" s="14">
        <v>6.7818454E-2</v>
      </c>
      <c r="KM48" s="14">
        <v>1.1387958219999998</v>
      </c>
      <c r="KN48" s="14">
        <v>6.4250062999999996E-2</v>
      </c>
      <c r="KO48" s="14">
        <v>0.31027364500000004</v>
      </c>
      <c r="KP48" s="14">
        <v>0.31659241900000001</v>
      </c>
      <c r="KQ48" s="14">
        <v>0.22683582205440478</v>
      </c>
      <c r="KR48" s="14">
        <v>4.5302329999999998E-3</v>
      </c>
      <c r="KS48" s="14">
        <v>0</v>
      </c>
      <c r="KT48" s="14">
        <v>1.2167402000000001E-2</v>
      </c>
      <c r="KU48" s="14">
        <v>0.56503852099999996</v>
      </c>
      <c r="KV48" s="14">
        <v>0</v>
      </c>
      <c r="KW48" s="14">
        <v>0.19754121799999999</v>
      </c>
      <c r="KX48" s="14">
        <v>0.60278711800000007</v>
      </c>
      <c r="KY48" s="14">
        <v>0</v>
      </c>
      <c r="KZ48" s="14">
        <v>0.32513010399999998</v>
      </c>
      <c r="LA48" s="14">
        <v>0.70581027299999999</v>
      </c>
      <c r="LB48" s="14">
        <v>3.6195958699999999</v>
      </c>
      <c r="LC48" s="14">
        <v>0.30314746461658182</v>
      </c>
      <c r="LD48" s="14">
        <v>3.0854120344234426</v>
      </c>
      <c r="LE48" s="14">
        <v>0.28696222447418185</v>
      </c>
      <c r="LF48" s="14">
        <v>0.64909569221621954</v>
      </c>
      <c r="LG48" s="14">
        <v>1.9800124658710996</v>
      </c>
      <c r="LH48" s="14">
        <v>0.91477727064469172</v>
      </c>
      <c r="LI48" s="14">
        <v>8.1355276483137132E-2</v>
      </c>
      <c r="LJ48" s="14">
        <v>0.49728926923255362</v>
      </c>
      <c r="LK48" s="14">
        <v>0.26122267990650389</v>
      </c>
      <c r="LL48" s="14">
        <v>0</v>
      </c>
      <c r="LM48" s="14">
        <v>4.0880750476342945E-2</v>
      </c>
      <c r="LN48" s="14">
        <v>1.1630139151876389</v>
      </c>
      <c r="LO48" s="14">
        <v>0</v>
      </c>
      <c r="LP48" s="14">
        <v>0.46859844</v>
      </c>
      <c r="LQ48" s="14">
        <v>0.76356172999999994</v>
      </c>
      <c r="LR48" s="14">
        <v>2.5689878899999998</v>
      </c>
      <c r="LS48" s="14">
        <v>0.46205668999999999</v>
      </c>
      <c r="LT48" s="14">
        <v>0.13904882999999998</v>
      </c>
      <c r="LU48" s="149"/>
    </row>
    <row r="49" spans="1:333" x14ac:dyDescent="0.3">
      <c r="A49" s="21" t="s">
        <v>39</v>
      </c>
      <c r="B49" s="21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4">
        <v>0</v>
      </c>
      <c r="CJ49" s="14">
        <v>0</v>
      </c>
      <c r="CK49" s="14">
        <v>0</v>
      </c>
      <c r="CL49" s="14">
        <v>0</v>
      </c>
      <c r="CM49" s="14">
        <v>0</v>
      </c>
      <c r="CN49" s="14">
        <v>0</v>
      </c>
      <c r="CO49" s="14">
        <v>0</v>
      </c>
      <c r="CP49" s="14">
        <v>0</v>
      </c>
      <c r="CQ49" s="14">
        <v>0</v>
      </c>
      <c r="CR49" s="14">
        <v>0</v>
      </c>
      <c r="CS49" s="14">
        <v>0</v>
      </c>
      <c r="CT49" s="14">
        <v>0</v>
      </c>
      <c r="CU49" s="14">
        <v>0</v>
      </c>
      <c r="CV49" s="14">
        <v>0</v>
      </c>
      <c r="CW49" s="14">
        <v>0</v>
      </c>
      <c r="CX49" s="14">
        <v>0</v>
      </c>
      <c r="CY49" s="14">
        <v>0</v>
      </c>
      <c r="CZ49" s="14">
        <v>0</v>
      </c>
      <c r="DA49" s="14">
        <v>0</v>
      </c>
      <c r="DB49" s="14">
        <v>0</v>
      </c>
      <c r="DC49" s="14">
        <v>0</v>
      </c>
      <c r="DD49" s="14">
        <v>0</v>
      </c>
      <c r="DE49" s="14">
        <v>0</v>
      </c>
      <c r="DF49" s="14">
        <v>0</v>
      </c>
      <c r="DG49" s="14">
        <v>0</v>
      </c>
      <c r="DH49" s="14">
        <v>0</v>
      </c>
      <c r="DI49" s="14">
        <v>0</v>
      </c>
      <c r="DJ49" s="14">
        <v>0</v>
      </c>
      <c r="DK49" s="14">
        <v>0</v>
      </c>
      <c r="DL49" s="14">
        <v>0</v>
      </c>
      <c r="DM49" s="14">
        <v>0</v>
      </c>
      <c r="DN49" s="14">
        <v>0</v>
      </c>
      <c r="DO49" s="14">
        <v>0</v>
      </c>
      <c r="DP49" s="14">
        <v>0</v>
      </c>
      <c r="DQ49" s="14">
        <v>0</v>
      </c>
      <c r="DR49" s="14">
        <v>0</v>
      </c>
      <c r="DS49" s="14">
        <v>0</v>
      </c>
      <c r="DT49" s="14">
        <v>0</v>
      </c>
      <c r="DU49" s="14">
        <v>0</v>
      </c>
      <c r="DV49" s="14">
        <v>0</v>
      </c>
      <c r="DW49" s="14">
        <v>0</v>
      </c>
      <c r="DX49" s="14">
        <v>0</v>
      </c>
      <c r="DY49" s="14">
        <v>0</v>
      </c>
      <c r="DZ49" s="14">
        <v>0</v>
      </c>
      <c r="EA49" s="14">
        <v>0</v>
      </c>
      <c r="EB49" s="14">
        <v>0</v>
      </c>
      <c r="EC49" s="14">
        <v>0</v>
      </c>
      <c r="ED49" s="14">
        <v>0</v>
      </c>
      <c r="EE49" s="14">
        <v>0</v>
      </c>
      <c r="EF49" s="14">
        <v>0</v>
      </c>
      <c r="EG49" s="14">
        <v>0</v>
      </c>
      <c r="EH49" s="14">
        <v>0</v>
      </c>
      <c r="EI49" s="14">
        <v>0</v>
      </c>
      <c r="EJ49" s="14">
        <v>0</v>
      </c>
      <c r="EK49" s="14">
        <v>0</v>
      </c>
      <c r="EL49" s="14">
        <v>0</v>
      </c>
      <c r="EM49" s="14">
        <v>0</v>
      </c>
      <c r="EN49" s="14">
        <v>0</v>
      </c>
      <c r="EO49" s="14">
        <v>0</v>
      </c>
      <c r="EP49" s="14">
        <v>0</v>
      </c>
      <c r="EQ49" s="14">
        <v>0</v>
      </c>
      <c r="ER49" s="14">
        <v>0</v>
      </c>
      <c r="ES49" s="14">
        <v>0</v>
      </c>
      <c r="ET49" s="14">
        <v>0</v>
      </c>
      <c r="EU49" s="14">
        <v>0</v>
      </c>
      <c r="EV49" s="14">
        <v>0</v>
      </c>
      <c r="EW49" s="14">
        <v>0</v>
      </c>
      <c r="EX49" s="14">
        <v>0</v>
      </c>
      <c r="EY49" s="14">
        <v>0</v>
      </c>
      <c r="EZ49" s="14">
        <v>0</v>
      </c>
      <c r="FA49" s="14">
        <v>0</v>
      </c>
      <c r="FB49" s="14">
        <v>0</v>
      </c>
      <c r="FC49" s="14">
        <v>0</v>
      </c>
      <c r="FD49" s="14">
        <v>0</v>
      </c>
      <c r="FE49" s="14">
        <v>0</v>
      </c>
      <c r="FF49" s="14">
        <v>0</v>
      </c>
      <c r="FG49" s="14">
        <v>0</v>
      </c>
      <c r="FH49" s="14">
        <v>0</v>
      </c>
      <c r="FI49" s="14">
        <v>0</v>
      </c>
      <c r="FJ49" s="14">
        <v>0</v>
      </c>
      <c r="FK49" s="14">
        <v>0</v>
      </c>
      <c r="FL49" s="14">
        <v>0</v>
      </c>
      <c r="FM49" s="14">
        <v>0</v>
      </c>
      <c r="FN49" s="14">
        <v>0</v>
      </c>
      <c r="FO49" s="14">
        <v>0</v>
      </c>
      <c r="FP49" s="14">
        <v>0</v>
      </c>
      <c r="FQ49" s="14">
        <v>0</v>
      </c>
      <c r="FR49" s="14">
        <v>0</v>
      </c>
      <c r="FS49" s="14">
        <v>0</v>
      </c>
      <c r="FT49" s="14">
        <v>0</v>
      </c>
      <c r="FU49" s="14">
        <v>0</v>
      </c>
      <c r="FV49" s="14">
        <v>0</v>
      </c>
      <c r="FW49" s="14">
        <v>0</v>
      </c>
      <c r="FX49" s="14">
        <v>0</v>
      </c>
      <c r="FY49" s="14">
        <v>0</v>
      </c>
      <c r="FZ49" s="14">
        <v>0</v>
      </c>
      <c r="GA49" s="14">
        <v>0</v>
      </c>
      <c r="GB49" s="14">
        <v>0</v>
      </c>
      <c r="GC49" s="14">
        <v>0</v>
      </c>
      <c r="GD49" s="14">
        <v>0</v>
      </c>
      <c r="GE49" s="14">
        <v>0</v>
      </c>
      <c r="GF49" s="14">
        <v>0</v>
      </c>
      <c r="GG49" s="14">
        <v>0</v>
      </c>
      <c r="GH49" s="14">
        <v>0</v>
      </c>
      <c r="GI49" s="14">
        <v>0</v>
      </c>
      <c r="GJ49" s="14">
        <v>0</v>
      </c>
      <c r="GK49" s="14">
        <v>0</v>
      </c>
      <c r="GL49" s="14">
        <v>0</v>
      </c>
      <c r="GM49" s="14">
        <v>0</v>
      </c>
      <c r="GN49" s="14">
        <v>0</v>
      </c>
      <c r="GO49" s="14">
        <v>0</v>
      </c>
      <c r="GP49" s="14">
        <v>0.505</v>
      </c>
      <c r="GQ49" s="14">
        <v>1.0269999999999999</v>
      </c>
      <c r="GR49" s="14">
        <v>0.81</v>
      </c>
      <c r="GS49" s="14">
        <v>0.55400000000000005</v>
      </c>
      <c r="GT49" s="14">
        <v>0.56799999999999995</v>
      </c>
      <c r="GU49" s="14">
        <v>0.57999999999999996</v>
      </c>
      <c r="GV49" s="14">
        <v>0.88</v>
      </c>
      <c r="GW49" s="14">
        <v>0.86699999999999999</v>
      </c>
      <c r="GX49" s="14">
        <v>0.63400000000000001</v>
      </c>
      <c r="GY49" s="14">
        <v>1.024</v>
      </c>
      <c r="GZ49" s="14">
        <v>0.69</v>
      </c>
      <c r="HA49" s="14">
        <v>0.626</v>
      </c>
      <c r="HB49" s="14">
        <v>0.89800000000000002</v>
      </c>
      <c r="HC49" s="14">
        <v>0.69399999999999995</v>
      </c>
      <c r="HD49" s="14">
        <v>0.85699999999999998</v>
      </c>
      <c r="HE49" s="14">
        <v>0.82</v>
      </c>
      <c r="HF49" s="14">
        <v>0.66100000000000003</v>
      </c>
      <c r="HG49" s="14">
        <v>0.86399999999999999</v>
      </c>
      <c r="HH49" s="14">
        <v>0.629</v>
      </c>
      <c r="HI49" s="14">
        <v>0.39300000000000002</v>
      </c>
      <c r="HJ49" s="14">
        <v>0.36899999999999999</v>
      </c>
      <c r="HK49" s="14">
        <v>0.69599999999999995</v>
      </c>
      <c r="HL49" s="14">
        <v>0.47899999999999998</v>
      </c>
      <c r="HM49" s="14">
        <v>0.38300000000000001</v>
      </c>
      <c r="HN49" s="14">
        <v>0.48799999999999999</v>
      </c>
      <c r="HO49" s="14">
        <v>0.67900000000000005</v>
      </c>
      <c r="HP49" s="14">
        <v>1.0349999999999999</v>
      </c>
      <c r="HQ49" s="14">
        <v>0.94899999999999995</v>
      </c>
      <c r="HR49" s="14">
        <v>0.749</v>
      </c>
      <c r="HS49" s="14">
        <v>0.48599999999999999</v>
      </c>
      <c r="HT49" s="14">
        <v>0.33900000000000002</v>
      </c>
      <c r="HU49" s="14">
        <v>0.54200000000000004</v>
      </c>
      <c r="HV49" s="14">
        <v>0.42399999999999999</v>
      </c>
      <c r="HW49" s="14">
        <v>0.24299999999999999</v>
      </c>
      <c r="HX49" s="14">
        <v>0.36899999999999999</v>
      </c>
      <c r="HY49" s="14">
        <v>0.23200000000000001</v>
      </c>
      <c r="HZ49" s="14">
        <v>0.309</v>
      </c>
      <c r="IA49" s="14">
        <v>0.41399999999999998</v>
      </c>
      <c r="IB49" s="14">
        <v>0.55300000000000005</v>
      </c>
      <c r="IC49" s="14">
        <v>0.44155835000000015</v>
      </c>
      <c r="ID49" s="14">
        <v>0.22597838000000001</v>
      </c>
      <c r="IE49" s="14">
        <v>0.39918083000000004</v>
      </c>
      <c r="IF49" s="14">
        <v>0.43691751000000006</v>
      </c>
      <c r="IG49" s="14">
        <v>0.37743055000000014</v>
      </c>
      <c r="IH49" s="14">
        <v>0.3521985199999999</v>
      </c>
      <c r="II49" s="14">
        <v>0.32583018000000019</v>
      </c>
      <c r="IJ49" s="14">
        <v>0.29402193999999998</v>
      </c>
      <c r="IK49" s="14">
        <v>0.24441820999999994</v>
      </c>
      <c r="IL49" s="14">
        <v>0.50328397999999996</v>
      </c>
      <c r="IM49" s="14">
        <v>0.6589931</v>
      </c>
      <c r="IN49" s="14">
        <v>1.3767888799999994</v>
      </c>
      <c r="IO49" s="14">
        <v>1.6519538099999977</v>
      </c>
      <c r="IP49" s="14">
        <v>2.0213720600000018</v>
      </c>
      <c r="IQ49" s="14">
        <v>1.5733000699999993</v>
      </c>
      <c r="IR49" s="14">
        <v>1.602800889999999</v>
      </c>
      <c r="IS49" s="14">
        <v>1.567508609999998</v>
      </c>
      <c r="IT49" s="14">
        <v>1.8402609000000008</v>
      </c>
      <c r="IU49" s="14">
        <v>1.8808489100000003</v>
      </c>
      <c r="IV49" s="14">
        <v>2.08382596</v>
      </c>
      <c r="IW49" s="14">
        <v>1.6346553900000003</v>
      </c>
      <c r="IX49" s="14">
        <v>2.0382624800000007</v>
      </c>
      <c r="IY49" s="14">
        <v>2.1705571400000006</v>
      </c>
      <c r="IZ49" s="14">
        <v>2.8152747399999947</v>
      </c>
      <c r="JA49" s="14">
        <v>1.5937873399999993</v>
      </c>
      <c r="JB49" s="14">
        <v>2.8714114799999941</v>
      </c>
      <c r="JC49" s="14">
        <v>2.0975657500000038</v>
      </c>
      <c r="JD49" s="14">
        <v>2.0604732499999971</v>
      </c>
      <c r="JE49" s="14">
        <v>1.9251288399999971</v>
      </c>
      <c r="JF49" s="14">
        <v>2.0899213899999958</v>
      </c>
      <c r="JG49" s="14">
        <v>2.2012002199999987</v>
      </c>
      <c r="JH49" s="14">
        <v>2.5717492600000038</v>
      </c>
      <c r="JI49" s="14">
        <v>1.8579926200000003</v>
      </c>
      <c r="JJ49" s="14">
        <v>2.4088787799999998</v>
      </c>
      <c r="JK49" s="14">
        <v>3.0786929799999934</v>
      </c>
      <c r="JL49" s="14">
        <v>1.6137707299999995</v>
      </c>
      <c r="JM49" s="14">
        <v>1.8881564710000005</v>
      </c>
      <c r="JN49" s="14">
        <v>1.827742856</v>
      </c>
      <c r="JO49" s="14">
        <v>1.722007662999993</v>
      </c>
      <c r="JP49" s="14">
        <v>1.5026101304734616</v>
      </c>
      <c r="JQ49" s="14">
        <v>1.5826837428128104</v>
      </c>
      <c r="JR49" s="14">
        <v>1.6667019365481761</v>
      </c>
      <c r="JS49" s="14">
        <v>1.496132695999999</v>
      </c>
      <c r="JT49" s="14">
        <v>1.4899917536986749</v>
      </c>
      <c r="JU49" s="14">
        <v>1.7904177932231291</v>
      </c>
      <c r="JV49" s="14">
        <v>1.762359035290362</v>
      </c>
      <c r="JW49" s="14">
        <v>1.7553202220539426</v>
      </c>
      <c r="JX49" s="14">
        <v>1.7380731220884866</v>
      </c>
      <c r="JY49" s="14">
        <v>1.4744279091573664</v>
      </c>
      <c r="JZ49" s="14">
        <v>1.1985257538761733</v>
      </c>
      <c r="KA49" s="14">
        <v>1.6615782900000011</v>
      </c>
      <c r="KB49" s="14">
        <v>1.5206229302947918</v>
      </c>
      <c r="KC49" s="14">
        <v>0.86709009759071387</v>
      </c>
      <c r="KD49" s="14">
        <v>1.0810798340931365</v>
      </c>
      <c r="KE49" s="14">
        <v>1.1363038267865888</v>
      </c>
      <c r="KF49" s="14">
        <v>0.82875130575394074</v>
      </c>
      <c r="KG49" s="14">
        <v>1.0025601075347106</v>
      </c>
      <c r="KH49" s="14">
        <v>1.00749916841849</v>
      </c>
      <c r="KI49" s="14">
        <v>0.6217906160820299</v>
      </c>
      <c r="KJ49" s="14">
        <v>1.1399708227845089</v>
      </c>
      <c r="KK49" s="14">
        <v>0.55136379194373042</v>
      </c>
      <c r="KL49" s="14">
        <v>0.40994121390630955</v>
      </c>
      <c r="KM49" s="14">
        <v>0.51889527714365558</v>
      </c>
      <c r="KN49" s="14">
        <v>0.61022889050382112</v>
      </c>
      <c r="KO49" s="14">
        <v>1.1257424020000002</v>
      </c>
      <c r="KP49" s="14">
        <v>0.62718586500000006</v>
      </c>
      <c r="KQ49" s="14">
        <v>0.49977962192029912</v>
      </c>
      <c r="KR49" s="14">
        <v>0.73618265100000002</v>
      </c>
      <c r="KS49" s="14">
        <v>0.68252072599999969</v>
      </c>
      <c r="KT49" s="14">
        <v>0.77788151300000041</v>
      </c>
      <c r="KU49" s="14">
        <v>0.73317310199999908</v>
      </c>
      <c r="KV49" s="14">
        <v>0.86424184100000057</v>
      </c>
      <c r="KW49" s="14">
        <v>0.93270357561754336</v>
      </c>
      <c r="KX49" s="14">
        <v>0.57678183400000038</v>
      </c>
      <c r="KY49" s="14">
        <v>0.56553365300000003</v>
      </c>
      <c r="KZ49" s="14">
        <v>0.48518193022103695</v>
      </c>
      <c r="LA49" s="14">
        <v>0.85674092401901314</v>
      </c>
      <c r="LB49" s="14">
        <v>0.68143449000000011</v>
      </c>
      <c r="LC49" s="14">
        <v>0.81231537079007166</v>
      </c>
      <c r="LD49" s="14">
        <v>0.90554450202901071</v>
      </c>
      <c r="LE49" s="14">
        <v>0.76579911618730323</v>
      </c>
      <c r="LF49" s="14">
        <v>0.70121966383043743</v>
      </c>
      <c r="LG49" s="14">
        <v>0.99306825670403731</v>
      </c>
      <c r="LH49" s="14">
        <v>1.4185033239216878</v>
      </c>
      <c r="LI49" s="14">
        <v>1.0496121750769989</v>
      </c>
      <c r="LJ49" s="14">
        <v>0.86828686408877143</v>
      </c>
      <c r="LK49" s="14">
        <v>1.1144807128093335</v>
      </c>
      <c r="LL49" s="14">
        <v>0.77074654843492829</v>
      </c>
      <c r="LM49" s="14">
        <v>1.189203616825566</v>
      </c>
      <c r="LN49" s="14">
        <v>0.98128043618685645</v>
      </c>
      <c r="LO49" s="14">
        <v>1.2777928700000007</v>
      </c>
      <c r="LP49" s="14">
        <v>1.6572183400000018</v>
      </c>
      <c r="LQ49" s="14">
        <v>1.1206688700000003</v>
      </c>
      <c r="LR49" s="14">
        <v>1.5630536600000005</v>
      </c>
      <c r="LS49" s="14">
        <v>1.6219794699999972</v>
      </c>
      <c r="LT49" s="14">
        <v>1.3814781000000007</v>
      </c>
      <c r="LU49" s="149"/>
    </row>
    <row r="50" spans="1:333" x14ac:dyDescent="0.3">
      <c r="A50" s="15" t="s">
        <v>40</v>
      </c>
      <c r="B50" s="15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7">
        <v>4.1719999999999997</v>
      </c>
      <c r="CJ50" s="17">
        <v>1.845</v>
      </c>
      <c r="CK50" s="17">
        <v>3.4830000000000001</v>
      </c>
      <c r="CL50" s="17">
        <v>5.3179999999999996</v>
      </c>
      <c r="CM50" s="17">
        <v>8.9819999999999993</v>
      </c>
      <c r="CN50" s="17">
        <v>8.8420000000000005</v>
      </c>
      <c r="CO50" s="17">
        <v>1.8380000000000001</v>
      </c>
      <c r="CP50" s="17">
        <v>2.5459999999999998</v>
      </c>
      <c r="CQ50" s="17">
        <v>3.0870000000000006</v>
      </c>
      <c r="CR50" s="17">
        <v>2.5169999999999999</v>
      </c>
      <c r="CS50" s="17">
        <v>2.8579999999999997</v>
      </c>
      <c r="CT50" s="17">
        <v>5.2320000000000011</v>
      </c>
      <c r="CU50" s="17">
        <v>2.6469999999999998</v>
      </c>
      <c r="CV50" s="17">
        <v>2.363</v>
      </c>
      <c r="CW50" s="17">
        <v>2.0060000000000002</v>
      </c>
      <c r="CX50" s="17">
        <v>2.5989999999999998</v>
      </c>
      <c r="CY50" s="17">
        <v>3.2149999999999999</v>
      </c>
      <c r="CZ50" s="17">
        <v>3.8390219999999999</v>
      </c>
      <c r="DA50" s="17">
        <v>3.8956999999999997</v>
      </c>
      <c r="DB50" s="17">
        <v>2.65</v>
      </c>
      <c r="DC50" s="17">
        <v>5.1629999999999994</v>
      </c>
      <c r="DD50" s="17">
        <v>12.449</v>
      </c>
      <c r="DE50" s="17">
        <v>4.8719999999999999</v>
      </c>
      <c r="DF50" s="17">
        <v>4.5540000000000003</v>
      </c>
      <c r="DG50" s="17">
        <v>2.194</v>
      </c>
      <c r="DH50" s="17">
        <v>3.6389999999999998</v>
      </c>
      <c r="DI50" s="17">
        <v>2.82</v>
      </c>
      <c r="DJ50" s="17">
        <v>3.1519999999999997</v>
      </c>
      <c r="DK50" s="17">
        <v>3.8489999999999993</v>
      </c>
      <c r="DL50" s="17">
        <v>2.6179999999999999</v>
      </c>
      <c r="DM50" s="17">
        <v>2.0359999999999996</v>
      </c>
      <c r="DN50" s="17">
        <v>2.38</v>
      </c>
      <c r="DO50" s="17">
        <v>3.399</v>
      </c>
      <c r="DP50" s="17">
        <v>3.157</v>
      </c>
      <c r="DQ50" s="17">
        <v>6.1640000000000006</v>
      </c>
      <c r="DR50" s="17">
        <v>3.5329999999999999</v>
      </c>
      <c r="DS50" s="17">
        <v>3.6209999999999996</v>
      </c>
      <c r="DT50" s="17">
        <v>4.4110000000000005</v>
      </c>
      <c r="DU50" s="17">
        <v>3.7959999999999994</v>
      </c>
      <c r="DV50" s="17">
        <v>5.1669999999999998</v>
      </c>
      <c r="DW50" s="17">
        <v>4.2050000000000001</v>
      </c>
      <c r="DX50" s="17">
        <v>2.2710000000000004</v>
      </c>
      <c r="DY50" s="17">
        <v>3.0539999999999998</v>
      </c>
      <c r="DZ50" s="17">
        <v>2.87</v>
      </c>
      <c r="EA50" s="17">
        <v>3.0979999999999999</v>
      </c>
      <c r="EB50" s="17">
        <v>3.6539999999999999</v>
      </c>
      <c r="EC50" s="17">
        <v>2.3769999999999998</v>
      </c>
      <c r="ED50" s="17">
        <v>4.1719999999999997</v>
      </c>
      <c r="EE50" s="17">
        <v>4.4189999999999996</v>
      </c>
      <c r="EF50" s="17">
        <v>4.6130000000000004</v>
      </c>
      <c r="EG50" s="17">
        <v>2.6749999999999998</v>
      </c>
      <c r="EH50" s="17">
        <v>5.08</v>
      </c>
      <c r="EI50" s="17">
        <v>2.5209999999999999</v>
      </c>
      <c r="EJ50" s="17">
        <v>2.797139</v>
      </c>
      <c r="EK50" s="17">
        <v>2.9162030000000003</v>
      </c>
      <c r="EL50" s="17">
        <v>5.5174649999999996</v>
      </c>
      <c r="EM50" s="17">
        <v>5.4323859999999993</v>
      </c>
      <c r="EN50" s="17">
        <v>5.35588</v>
      </c>
      <c r="EO50" s="17">
        <v>5.52</v>
      </c>
      <c r="EP50" s="17">
        <v>6.4210000000000003</v>
      </c>
      <c r="EQ50" s="17">
        <v>6.7769999999999984</v>
      </c>
      <c r="ER50" s="17">
        <v>5.8539999999999992</v>
      </c>
      <c r="ES50" s="17">
        <v>5.04</v>
      </c>
      <c r="ET50" s="17">
        <v>5.3360000000000003</v>
      </c>
      <c r="EU50" s="17">
        <v>6.8849999999999998</v>
      </c>
      <c r="EV50" s="17">
        <v>8.9420000000000002</v>
      </c>
      <c r="EW50" s="17">
        <v>5.6559999999999979</v>
      </c>
      <c r="EX50" s="17">
        <v>4.3499999999999996</v>
      </c>
      <c r="EY50" s="17">
        <v>6.84</v>
      </c>
      <c r="EZ50" s="17">
        <v>5.1080000000000005</v>
      </c>
      <c r="FA50" s="17">
        <v>4.5059999999999985</v>
      </c>
      <c r="FB50" s="17">
        <v>5.0079999999999991</v>
      </c>
      <c r="FC50" s="17">
        <v>6.1990000000000016</v>
      </c>
      <c r="FD50" s="17">
        <v>10.843999999999999</v>
      </c>
      <c r="FE50" s="17">
        <v>5.6819999999999995</v>
      </c>
      <c r="FF50" s="17">
        <v>8.5520000000000014</v>
      </c>
      <c r="FG50" s="17">
        <v>9.0570000000000022</v>
      </c>
      <c r="FH50" s="17">
        <v>9.98</v>
      </c>
      <c r="FI50" s="17">
        <v>7.3929999999999998</v>
      </c>
      <c r="FJ50" s="17">
        <v>7.9869999999999992</v>
      </c>
      <c r="FK50" s="17">
        <v>10.75</v>
      </c>
      <c r="FL50" s="17">
        <v>10.853999999999999</v>
      </c>
      <c r="FM50" s="17">
        <v>10.602</v>
      </c>
      <c r="FN50" s="17">
        <v>10.192796000000001</v>
      </c>
      <c r="FO50" s="17">
        <v>10.664</v>
      </c>
      <c r="FP50" s="17">
        <v>11.994</v>
      </c>
      <c r="FQ50" s="17">
        <v>11.02</v>
      </c>
      <c r="FR50" s="17">
        <v>10.83</v>
      </c>
      <c r="FS50" s="17">
        <v>12.51</v>
      </c>
      <c r="FT50" s="17">
        <v>11.378</v>
      </c>
      <c r="FU50" s="17">
        <v>15.586</v>
      </c>
      <c r="FV50" s="17">
        <v>10.705</v>
      </c>
      <c r="FW50" s="17">
        <v>12.218999999999999</v>
      </c>
      <c r="FX50" s="17">
        <v>7.5189999999999992</v>
      </c>
      <c r="FY50" s="17">
        <v>13.597000000000001</v>
      </c>
      <c r="FZ50" s="17">
        <v>19.52</v>
      </c>
      <c r="GA50" s="17">
        <v>16.196999999999999</v>
      </c>
      <c r="GB50" s="17">
        <v>19.733000000000001</v>
      </c>
      <c r="GC50" s="17">
        <v>19.853999999999999</v>
      </c>
      <c r="GD50" s="17">
        <v>28.097999999999999</v>
      </c>
      <c r="GE50" s="17">
        <v>23.303000000000001</v>
      </c>
      <c r="GF50" s="17">
        <v>25.132999999999999</v>
      </c>
      <c r="GG50" s="17">
        <v>26.489000000000001</v>
      </c>
      <c r="GH50" s="17">
        <v>27.091999999999999</v>
      </c>
      <c r="GI50" s="17">
        <v>35.652999999999999</v>
      </c>
      <c r="GJ50" s="17">
        <v>30.492000000000001</v>
      </c>
      <c r="GK50" s="17">
        <v>47.888999999999996</v>
      </c>
      <c r="GL50" s="17">
        <v>39.204000000000001</v>
      </c>
      <c r="GM50" s="17">
        <v>36.155000000000001</v>
      </c>
      <c r="GN50" s="17">
        <v>42.44</v>
      </c>
      <c r="GO50" s="17">
        <v>41.945</v>
      </c>
      <c r="GP50" s="17">
        <v>20.665999999999983</v>
      </c>
      <c r="GQ50" s="17">
        <v>18.547000000000001</v>
      </c>
      <c r="GR50" s="17">
        <v>19.201000000000001</v>
      </c>
      <c r="GS50" s="17">
        <v>23.45</v>
      </c>
      <c r="GT50" s="17">
        <v>21.026999999999997</v>
      </c>
      <c r="GU50" s="17">
        <v>20.934999999999999</v>
      </c>
      <c r="GV50" s="17">
        <v>18.385000000000002</v>
      </c>
      <c r="GW50" s="17">
        <v>25.308</v>
      </c>
      <c r="GX50" s="17">
        <v>17.901</v>
      </c>
      <c r="GY50" s="17">
        <v>32.774999999999999</v>
      </c>
      <c r="GZ50" s="17">
        <v>23.672999999999998</v>
      </c>
      <c r="HA50" s="17">
        <v>16.577999999999999</v>
      </c>
      <c r="HB50" s="17">
        <v>23.501999999999999</v>
      </c>
      <c r="HC50" s="17">
        <v>17.138000000000002</v>
      </c>
      <c r="HD50" s="17">
        <v>17.977</v>
      </c>
      <c r="HE50" s="17">
        <v>17.314</v>
      </c>
      <c r="HF50" s="17">
        <v>22.119</v>
      </c>
      <c r="HG50" s="17">
        <v>17.478000000000002</v>
      </c>
      <c r="HH50" s="17">
        <v>21.811</v>
      </c>
      <c r="HI50" s="17">
        <v>15.943</v>
      </c>
      <c r="HJ50" s="17">
        <v>23.166</v>
      </c>
      <c r="HK50" s="17">
        <v>20.555</v>
      </c>
      <c r="HL50" s="17">
        <v>28.553999999999998</v>
      </c>
      <c r="HM50" s="17">
        <v>28.097000000000001</v>
      </c>
      <c r="HN50" s="17">
        <v>29.878</v>
      </c>
      <c r="HO50" s="17">
        <v>18.896000000000001</v>
      </c>
      <c r="HP50" s="17">
        <v>24.015000000000001</v>
      </c>
      <c r="HQ50" s="17">
        <v>14.927</v>
      </c>
      <c r="HR50" s="17">
        <v>20.757000000000001</v>
      </c>
      <c r="HS50" s="17">
        <v>29.276</v>
      </c>
      <c r="HT50" s="17">
        <v>20.041</v>
      </c>
      <c r="HU50" s="17">
        <v>21.896999999999998</v>
      </c>
      <c r="HV50" s="17">
        <v>21.096</v>
      </c>
      <c r="HW50" s="17">
        <v>18.823</v>
      </c>
      <c r="HX50" s="17">
        <v>34.469000000000001</v>
      </c>
      <c r="HY50" s="17">
        <v>19.933</v>
      </c>
      <c r="HZ50" s="17">
        <v>29.956</v>
      </c>
      <c r="IA50" s="17">
        <v>23.460999999999999</v>
      </c>
      <c r="IB50" s="17">
        <v>20.001000000000001</v>
      </c>
      <c r="IC50" s="17">
        <v>22.7664404000001</v>
      </c>
      <c r="ID50" s="17">
        <v>29.934695900000094</v>
      </c>
      <c r="IE50" s="17">
        <v>28.358215619999999</v>
      </c>
      <c r="IF50" s="17">
        <v>26.491282930000043</v>
      </c>
      <c r="IG50" s="17">
        <v>30.832420940000009</v>
      </c>
      <c r="IH50" s="17">
        <v>27.158700219999997</v>
      </c>
      <c r="II50" s="17">
        <v>29.292621760000205</v>
      </c>
      <c r="IJ50" s="17">
        <v>32.057390720000143</v>
      </c>
      <c r="IK50" s="17">
        <v>25.722106199999985</v>
      </c>
      <c r="IL50" s="17">
        <v>28.145368660000116</v>
      </c>
      <c r="IM50" s="17">
        <v>29.479139390000192</v>
      </c>
      <c r="IN50" s="17">
        <v>34.917806570000046</v>
      </c>
      <c r="IO50" s="17">
        <v>30.812114119999968</v>
      </c>
      <c r="IP50" s="17">
        <v>34.301181270000015</v>
      </c>
      <c r="IQ50" s="17">
        <v>35.464587240000071</v>
      </c>
      <c r="IR50" s="17">
        <v>42.908972428134433</v>
      </c>
      <c r="IS50" s="17">
        <v>32.996109589999854</v>
      </c>
      <c r="IT50" s="17">
        <v>34.98447032000027</v>
      </c>
      <c r="IU50" s="17">
        <v>47.947867910000227</v>
      </c>
      <c r="IV50" s="17">
        <v>40.674246560000149</v>
      </c>
      <c r="IW50" s="17">
        <v>43.148899500000091</v>
      </c>
      <c r="IX50" s="17">
        <v>38.733112970000064</v>
      </c>
      <c r="IY50" s="17">
        <v>41.731970970000575</v>
      </c>
      <c r="IZ50" s="17">
        <v>34.57590932999986</v>
      </c>
      <c r="JA50" s="17">
        <v>41.011929540000104</v>
      </c>
      <c r="JB50" s="17">
        <v>53.93135805000037</v>
      </c>
      <c r="JC50" s="17">
        <v>41.85100544999991</v>
      </c>
      <c r="JD50" s="17">
        <v>45.663110580000073</v>
      </c>
      <c r="JE50" s="17">
        <v>46.857562919999729</v>
      </c>
      <c r="JF50" s="17">
        <v>36.106458330000329</v>
      </c>
      <c r="JG50" s="17">
        <v>47.484054270000264</v>
      </c>
      <c r="JH50" s="17">
        <v>43.646933849999542</v>
      </c>
      <c r="JI50" s="17">
        <v>45.369447459999961</v>
      </c>
      <c r="JJ50" s="17">
        <v>45.952453170000204</v>
      </c>
      <c r="JK50" s="17">
        <v>38.502424920000081</v>
      </c>
      <c r="JL50" s="17">
        <v>41.313176059999982</v>
      </c>
      <c r="JM50" s="17">
        <v>40.876815007999973</v>
      </c>
      <c r="JN50" s="17">
        <v>37.277246021438145</v>
      </c>
      <c r="JO50" s="17">
        <v>39.184986418999848</v>
      </c>
      <c r="JP50" s="17">
        <v>40.901657716597796</v>
      </c>
      <c r="JQ50" s="17">
        <v>47.146007851228305</v>
      </c>
      <c r="JR50" s="17">
        <v>40.846622510840689</v>
      </c>
      <c r="JS50" s="17">
        <v>40.358173748641192</v>
      </c>
      <c r="JT50" s="17">
        <v>38.196002185306014</v>
      </c>
      <c r="JU50" s="17">
        <v>38.857674257613958</v>
      </c>
      <c r="JV50" s="17">
        <v>38.593525594548233</v>
      </c>
      <c r="JW50" s="17">
        <v>41.551183867407687</v>
      </c>
      <c r="JX50" s="17">
        <v>44.727888899057028</v>
      </c>
      <c r="JY50" s="17">
        <v>31.109670882688341</v>
      </c>
      <c r="JZ50" s="17">
        <v>39.469885938338884</v>
      </c>
      <c r="KA50" s="17">
        <v>47.767596186767186</v>
      </c>
      <c r="KB50" s="17">
        <v>38.378188271513366</v>
      </c>
      <c r="KC50" s="17">
        <v>39.962526313340177</v>
      </c>
      <c r="KD50" s="17">
        <v>38.657213904867575</v>
      </c>
      <c r="KE50" s="17">
        <v>37.485371397074893</v>
      </c>
      <c r="KF50" s="17">
        <v>38.46431981522089</v>
      </c>
      <c r="KG50" s="17">
        <v>40.154793996914897</v>
      </c>
      <c r="KH50" s="17">
        <v>33.095816368382266</v>
      </c>
      <c r="KI50" s="17">
        <v>34.760365048965561</v>
      </c>
      <c r="KJ50" s="17">
        <v>41.308496349938984</v>
      </c>
      <c r="KK50" s="17">
        <v>32.752777701271782</v>
      </c>
      <c r="KL50" s="17">
        <v>39.124680037739331</v>
      </c>
      <c r="KM50" s="17">
        <v>43.584763208738067</v>
      </c>
      <c r="KN50" s="17">
        <v>49.720002232696416</v>
      </c>
      <c r="KO50" s="17">
        <v>39.224393999465576</v>
      </c>
      <c r="KP50" s="17">
        <v>39.240830202373481</v>
      </c>
      <c r="KQ50" s="17">
        <v>48.75365530865237</v>
      </c>
      <c r="KR50" s="17">
        <v>38.885866037904727</v>
      </c>
      <c r="KS50" s="17">
        <v>43.206880725568716</v>
      </c>
      <c r="KT50" s="17">
        <v>49.289818146872584</v>
      </c>
      <c r="KU50" s="17">
        <v>50.762099921436665</v>
      </c>
      <c r="KV50" s="17">
        <v>51.848925198147363</v>
      </c>
      <c r="KW50" s="17">
        <v>28.76212578150847</v>
      </c>
      <c r="KX50" s="17">
        <v>26.085264438503604</v>
      </c>
      <c r="KY50" s="17">
        <v>34.003034765956642</v>
      </c>
      <c r="KZ50" s="17">
        <v>37.990655941717193</v>
      </c>
      <c r="LA50" s="17">
        <v>74.357065347251194</v>
      </c>
      <c r="LB50" s="17">
        <v>46.436316287256133</v>
      </c>
      <c r="LC50" s="17">
        <v>43.937962236712622</v>
      </c>
      <c r="LD50" s="17">
        <v>38.94627691475614</v>
      </c>
      <c r="LE50" s="17">
        <v>41.73341047817339</v>
      </c>
      <c r="LF50" s="17">
        <v>46.152200355098962</v>
      </c>
      <c r="LG50" s="17">
        <v>65.899071000715907</v>
      </c>
      <c r="LH50" s="17">
        <v>60.295449980739939</v>
      </c>
      <c r="LI50" s="17">
        <v>58.398912387747821</v>
      </c>
      <c r="LJ50" s="17">
        <v>56.523923883991067</v>
      </c>
      <c r="LK50" s="17">
        <v>52.512474884220374</v>
      </c>
      <c r="LL50" s="17">
        <v>39.600889651913405</v>
      </c>
      <c r="LM50" s="17">
        <v>52.149581070779341</v>
      </c>
      <c r="LN50" s="17">
        <v>47.396241891489453</v>
      </c>
      <c r="LO50" s="17">
        <v>45.723251480000137</v>
      </c>
      <c r="LP50" s="17">
        <v>40.267356599999943</v>
      </c>
      <c r="LQ50" s="17">
        <v>37.277849350000174</v>
      </c>
      <c r="LR50" s="17">
        <v>50.103275530000126</v>
      </c>
      <c r="LS50" s="17">
        <v>35.544440101371414</v>
      </c>
      <c r="LT50" s="17">
        <v>37.551581659999897</v>
      </c>
      <c r="LU50" s="149"/>
    </row>
    <row r="51" spans="1:333" x14ac:dyDescent="0.3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149"/>
    </row>
    <row r="52" spans="1:333" x14ac:dyDescent="0.3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149"/>
    </row>
    <row r="53" spans="1:333" x14ac:dyDescent="0.3">
      <c r="A53" s="22" t="s">
        <v>157</v>
      </c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>
        <v>12.388888</v>
      </c>
      <c r="AB53" s="23">
        <v>15.802190500000002</v>
      </c>
      <c r="AC53" s="23">
        <v>21.757333000000003</v>
      </c>
      <c r="AD53" s="23">
        <v>12.8717737</v>
      </c>
      <c r="AE53" s="23">
        <v>14.569257</v>
      </c>
      <c r="AF53" s="23">
        <v>15.664053000000001</v>
      </c>
      <c r="AG53" s="23">
        <v>20.55385987</v>
      </c>
      <c r="AH53" s="23">
        <v>27.407342249999999</v>
      </c>
      <c r="AI53" s="23">
        <v>32.504564999999999</v>
      </c>
      <c r="AJ53" s="23">
        <v>32.601460000000003</v>
      </c>
      <c r="AK53" s="23">
        <v>31.6724338</v>
      </c>
      <c r="AL53" s="23">
        <v>26.887520649999999</v>
      </c>
      <c r="AM53" s="23">
        <v>50.061241500000001</v>
      </c>
      <c r="AN53" s="23">
        <v>36.704780999999997</v>
      </c>
      <c r="AO53" s="23">
        <v>59.161850000000001</v>
      </c>
      <c r="AP53" s="23">
        <v>46.55320905</v>
      </c>
      <c r="AQ53" s="23">
        <v>44.276843800000002</v>
      </c>
      <c r="AR53" s="23">
        <v>53.167372399999998</v>
      </c>
      <c r="AS53" s="23">
        <v>63.44685033333333</v>
      </c>
      <c r="AT53" s="23">
        <v>58.809227333333332</v>
      </c>
      <c r="AU53" s="23">
        <v>68.333114333333327</v>
      </c>
      <c r="AV53" s="23">
        <v>47.500375333333338</v>
      </c>
      <c r="AW53" s="23">
        <v>36.765880333333328</v>
      </c>
      <c r="AX53" s="23">
        <v>24.58953833333333</v>
      </c>
      <c r="AY53" s="23">
        <v>34.008505077818938</v>
      </c>
      <c r="AZ53" s="23">
        <v>48.370674197727183</v>
      </c>
      <c r="BA53" s="23">
        <v>49.486713054430993</v>
      </c>
      <c r="BB53" s="23">
        <v>29.122913864465588</v>
      </c>
      <c r="BC53" s="23">
        <v>38.53735228911016</v>
      </c>
      <c r="BD53" s="23">
        <v>55.232782057769256</v>
      </c>
      <c r="BE53" s="23">
        <v>62.20519190016666</v>
      </c>
      <c r="BF53" s="23">
        <v>63.750176985166668</v>
      </c>
      <c r="BG53" s="23">
        <v>60.669095866166664</v>
      </c>
      <c r="BH53" s="23">
        <v>63.796489416666674</v>
      </c>
      <c r="BI53" s="23">
        <v>45.439319012166663</v>
      </c>
      <c r="BJ53" s="23">
        <v>34.191546514666669</v>
      </c>
      <c r="BK53" s="23">
        <v>51.351374704485607</v>
      </c>
      <c r="BL53" s="23">
        <v>47.503481664393846</v>
      </c>
      <c r="BM53" s="23">
        <v>46.479932721097661</v>
      </c>
      <c r="BN53" s="23">
        <v>53.647757531132257</v>
      </c>
      <c r="BO53" s="23">
        <v>53.687903000000006</v>
      </c>
      <c r="BP53" s="23">
        <v>55.880250999999994</v>
      </c>
      <c r="BQ53" s="23">
        <v>63.584637000000001</v>
      </c>
      <c r="BR53" s="23">
        <v>69.709215999999998</v>
      </c>
      <c r="BS53" s="23">
        <v>66.456012000000001</v>
      </c>
      <c r="BT53" s="23">
        <v>61.132149999999996</v>
      </c>
      <c r="BU53" s="23">
        <v>51.653240999999994</v>
      </c>
      <c r="BV53" s="23">
        <v>61.352103999999997</v>
      </c>
      <c r="BW53" s="23">
        <v>45.509320000000002</v>
      </c>
      <c r="BX53" s="23">
        <v>41.448785000000001</v>
      </c>
      <c r="BY53" s="23">
        <v>33.362782000000003</v>
      </c>
      <c r="BZ53" s="23">
        <v>25.198441169999995</v>
      </c>
      <c r="CA53" s="23">
        <v>32.556550000000001</v>
      </c>
      <c r="CB53" s="23">
        <v>39.597050000000003</v>
      </c>
      <c r="CC53" s="23">
        <v>38.463802000000001</v>
      </c>
      <c r="CD53" s="23">
        <v>51.943108999999993</v>
      </c>
      <c r="CE53" s="23">
        <v>44.630099999999999</v>
      </c>
      <c r="CF53" s="23">
        <v>27.850259000000001</v>
      </c>
      <c r="CG53" s="23">
        <v>26.672867</v>
      </c>
      <c r="CH53" s="23">
        <v>51.177334000000002</v>
      </c>
      <c r="CI53" s="23">
        <v>40.094112000000003</v>
      </c>
      <c r="CJ53" s="23">
        <v>44.236873000000003</v>
      </c>
      <c r="CK53" s="23">
        <v>31.519534999999998</v>
      </c>
      <c r="CL53" s="23">
        <v>29.740631999999998</v>
      </c>
      <c r="CM53" s="23">
        <v>47.819752999999999</v>
      </c>
      <c r="CN53" s="23">
        <v>65.376000000000005</v>
      </c>
      <c r="CO53" s="23">
        <v>59.082999999999998</v>
      </c>
      <c r="CP53" s="23">
        <v>56.044752000000003</v>
      </c>
      <c r="CQ53" s="23">
        <v>51.533999999999992</v>
      </c>
      <c r="CR53" s="23">
        <v>28.715999999999998</v>
      </c>
      <c r="CS53" s="23">
        <v>38.973210999999999</v>
      </c>
      <c r="CT53" s="23">
        <v>45.325412</v>
      </c>
      <c r="CU53" s="23">
        <v>36.137395999999995</v>
      </c>
      <c r="CV53" s="23">
        <v>31.948709999999998</v>
      </c>
      <c r="CW53" s="23">
        <v>29.212337999999999</v>
      </c>
      <c r="CX53" s="23">
        <v>25.220777999999999</v>
      </c>
      <c r="CY53" s="23">
        <v>35.847707</v>
      </c>
      <c r="CZ53" s="23">
        <v>39.437243000000002</v>
      </c>
      <c r="DA53" s="23">
        <v>42.864448000000003</v>
      </c>
      <c r="DB53" s="23">
        <v>39.253378999999995</v>
      </c>
      <c r="DC53" s="23">
        <v>43.003156000000004</v>
      </c>
      <c r="DD53" s="23">
        <v>38.468426000000001</v>
      </c>
      <c r="DE53" s="23">
        <v>32.435825999999999</v>
      </c>
      <c r="DF53" s="23">
        <v>38.687042000000005</v>
      </c>
      <c r="DG53" s="23">
        <v>35.063613999999994</v>
      </c>
      <c r="DH53" s="23">
        <v>27.832303</v>
      </c>
      <c r="DI53" s="23">
        <v>31.061474000000004</v>
      </c>
      <c r="DJ53" s="23">
        <v>28.888859</v>
      </c>
      <c r="DK53" s="23">
        <v>42.250881</v>
      </c>
      <c r="DL53" s="23">
        <v>30.995000000000001</v>
      </c>
      <c r="DM53" s="23">
        <v>41.914947000000012</v>
      </c>
      <c r="DN53" s="23">
        <v>40.504072000000008</v>
      </c>
      <c r="DO53" s="23">
        <v>38.297713000000002</v>
      </c>
      <c r="DP53" s="23">
        <v>39.47699999999999</v>
      </c>
      <c r="DQ53" s="23">
        <v>40.218000000000004</v>
      </c>
      <c r="DR53" s="23">
        <v>35.183</v>
      </c>
      <c r="DS53" s="23">
        <v>35.239562999999997</v>
      </c>
      <c r="DT53" s="23">
        <v>40.157265000000002</v>
      </c>
      <c r="DU53" s="23">
        <v>32.197626999999997</v>
      </c>
      <c r="DV53" s="23">
        <v>31.901399999999995</v>
      </c>
      <c r="DW53" s="23">
        <v>32.157199999999996</v>
      </c>
      <c r="DX53" s="23">
        <v>36.18</v>
      </c>
      <c r="DY53" s="23">
        <v>40.051915999999999</v>
      </c>
      <c r="DZ53" s="23">
        <v>35.755669999999995</v>
      </c>
      <c r="EA53" s="23">
        <v>45.019634690000004</v>
      </c>
      <c r="EB53" s="23">
        <v>37.794199999999996</v>
      </c>
      <c r="EC53" s="23">
        <v>36.813400000000001</v>
      </c>
      <c r="ED53" s="23">
        <v>40.094112000000003</v>
      </c>
      <c r="EE53" s="23">
        <v>38.405851000000006</v>
      </c>
      <c r="EF53" s="23">
        <v>34.642776999999995</v>
      </c>
      <c r="EG53" s="23">
        <v>33.470385</v>
      </c>
      <c r="EH53" s="23">
        <v>38.917999999999992</v>
      </c>
      <c r="EI53" s="23">
        <v>36.763000000000005</v>
      </c>
      <c r="EJ53" s="23">
        <v>34.093139000000008</v>
      </c>
      <c r="EK53" s="23">
        <v>49.475755620000001</v>
      </c>
      <c r="EL53" s="23">
        <v>45.380074260000001</v>
      </c>
      <c r="EM53" s="23">
        <v>41.738898200000001</v>
      </c>
      <c r="EN53" s="23">
        <v>39.991688019999998</v>
      </c>
      <c r="EO53" s="23">
        <v>38.770183999999993</v>
      </c>
      <c r="EP53" s="23">
        <v>41.805904959999999</v>
      </c>
      <c r="EQ53" s="23">
        <v>43.461560859999999</v>
      </c>
      <c r="ER53" s="23">
        <v>44.169179749999998</v>
      </c>
      <c r="ES53" s="23">
        <v>53.388835800000003</v>
      </c>
      <c r="ET53" s="23">
        <v>47.937498299999994</v>
      </c>
      <c r="EU53" s="23">
        <v>38.349224800000002</v>
      </c>
      <c r="EV53" s="23">
        <v>43.829424760000002</v>
      </c>
      <c r="EW53" s="23">
        <v>64.600999999999985</v>
      </c>
      <c r="EX53" s="23">
        <v>54.83</v>
      </c>
      <c r="EY53" s="23">
        <v>65.042394000000002</v>
      </c>
      <c r="EZ53" s="23">
        <v>59.184000000000012</v>
      </c>
      <c r="FA53" s="23">
        <v>48.022413</v>
      </c>
      <c r="FB53" s="23">
        <v>47.904868000000008</v>
      </c>
      <c r="FC53" s="23">
        <v>56.204079999999998</v>
      </c>
      <c r="FD53" s="23">
        <v>56.237000000000002</v>
      </c>
      <c r="FE53" s="23">
        <v>47.933634000000005</v>
      </c>
      <c r="FF53" s="23">
        <v>48.061720999999999</v>
      </c>
      <c r="FG53" s="23">
        <v>52.857451439999998</v>
      </c>
      <c r="FH53" s="23">
        <v>63.771677099999991</v>
      </c>
      <c r="FI53" s="23">
        <v>55.89927288447015</v>
      </c>
      <c r="FJ53" s="23">
        <v>60.966524327811797</v>
      </c>
      <c r="FK53" s="23">
        <v>66.902749437345093</v>
      </c>
      <c r="FL53" s="23">
        <v>71.165653586105492</v>
      </c>
      <c r="FM53" s="23">
        <v>73.459162757224206</v>
      </c>
      <c r="FN53" s="23">
        <v>70.629632851041166</v>
      </c>
      <c r="FO53" s="23">
        <v>68.266191781756845</v>
      </c>
      <c r="FP53" s="23">
        <v>68.86123573009705</v>
      </c>
      <c r="FQ53" s="23">
        <v>58.901577864227278</v>
      </c>
      <c r="FR53" s="23">
        <v>67.767270733811472</v>
      </c>
      <c r="FS53" s="23">
        <v>69.814097645915197</v>
      </c>
      <c r="FT53" s="23">
        <v>71.823881943112667</v>
      </c>
      <c r="FU53" s="23">
        <v>77.427999999999997</v>
      </c>
      <c r="FV53" s="23">
        <v>66.926000000000002</v>
      </c>
      <c r="FW53" s="23">
        <v>68.813000000000002</v>
      </c>
      <c r="FX53" s="23">
        <v>66.087000000000003</v>
      </c>
      <c r="FY53" s="23">
        <v>67.307999999999993</v>
      </c>
      <c r="FZ53" s="23">
        <v>81.741</v>
      </c>
      <c r="GA53" s="23">
        <v>76.423000000000002</v>
      </c>
      <c r="GB53" s="23">
        <v>81.707999999999998</v>
      </c>
      <c r="GC53" s="23">
        <v>80.944999999999993</v>
      </c>
      <c r="GD53" s="23">
        <v>86.433999999999997</v>
      </c>
      <c r="GE53" s="23">
        <v>91.885000000000005</v>
      </c>
      <c r="GF53" s="23">
        <v>98.433999</v>
      </c>
      <c r="GG53" s="23">
        <v>110.983743</v>
      </c>
      <c r="GH53" s="23">
        <v>110.12378700000001</v>
      </c>
      <c r="GI53" s="23">
        <v>126.995</v>
      </c>
      <c r="GJ53" s="23">
        <v>98.654517999999996</v>
      </c>
      <c r="GK53" s="23">
        <v>121.996</v>
      </c>
      <c r="GL53" s="23">
        <v>112.53477799999999</v>
      </c>
      <c r="GM53" s="23">
        <v>106.43286252667622</v>
      </c>
      <c r="GN53" s="23">
        <v>109.07618199999999</v>
      </c>
      <c r="GO53" s="23">
        <v>100.124887</v>
      </c>
      <c r="GP53" s="23">
        <v>105.73999199999999</v>
      </c>
      <c r="GQ53" s="23">
        <v>115.81115300000002</v>
      </c>
      <c r="GR53" s="23">
        <v>115.62878600000001</v>
      </c>
      <c r="GS53" s="23">
        <v>129.62</v>
      </c>
      <c r="GT53" s="23">
        <v>128.57500000000002</v>
      </c>
      <c r="GU53" s="23">
        <v>141.01549344964209</v>
      </c>
      <c r="GV53" s="23">
        <v>135.09324782719841</v>
      </c>
      <c r="GW53" s="23">
        <v>150.41426779780164</v>
      </c>
      <c r="GX53" s="23">
        <v>145.37663726993864</v>
      </c>
      <c r="GY53" s="23">
        <v>170.66423680342535</v>
      </c>
      <c r="GZ53" s="23">
        <v>149.37875733128834</v>
      </c>
      <c r="HA53" s="23">
        <v>124.87900949974437</v>
      </c>
      <c r="HB53" s="23">
        <v>131.89479960429446</v>
      </c>
      <c r="HC53" s="23">
        <v>131.49636519043966</v>
      </c>
      <c r="HD53" s="23">
        <v>115.13620360301638</v>
      </c>
      <c r="HE53" s="23">
        <v>121.119</v>
      </c>
      <c r="HF53" s="23">
        <v>136.20606199999997</v>
      </c>
      <c r="HG53" s="23">
        <v>133.19600000000003</v>
      </c>
      <c r="HH53" s="23">
        <v>121.959</v>
      </c>
      <c r="HI53" s="23">
        <v>112.33499999999999</v>
      </c>
      <c r="HJ53" s="23">
        <v>117.41899999999998</v>
      </c>
      <c r="HK53" s="23">
        <v>126.26399999999998</v>
      </c>
      <c r="HL53" s="23">
        <v>129.99199999999999</v>
      </c>
      <c r="HM53" s="23">
        <v>119.67406399999999</v>
      </c>
      <c r="HN53" s="23">
        <v>134.37733900000001</v>
      </c>
      <c r="HO53" s="23">
        <v>128.448487</v>
      </c>
      <c r="HP53" s="23">
        <v>142.02800000000002</v>
      </c>
      <c r="HQ53" s="23">
        <v>132.87709325499713</v>
      </c>
      <c r="HR53" s="23">
        <v>134.95985595299828</v>
      </c>
      <c r="HS53" s="23">
        <v>151.72461143869032</v>
      </c>
      <c r="HT53" s="23">
        <v>136.76102519328674</v>
      </c>
      <c r="HU53" s="23">
        <v>138.97024989864224</v>
      </c>
      <c r="HV53" s="23">
        <v>136.08794453493303</v>
      </c>
      <c r="HW53" s="23">
        <v>123.16265583961149</v>
      </c>
      <c r="HX53" s="23">
        <v>144.80060351510932</v>
      </c>
      <c r="HY53" s="23">
        <v>117.50614546954549</v>
      </c>
      <c r="HZ53" s="23">
        <v>132.45310514036865</v>
      </c>
      <c r="IA53" s="23">
        <v>139.94499999999999</v>
      </c>
      <c r="IB53" s="23">
        <v>146.38900000000001</v>
      </c>
      <c r="IC53" s="23">
        <v>162.8214167000001</v>
      </c>
      <c r="ID53" s="23">
        <v>174.2537124000001</v>
      </c>
      <c r="IE53" s="23">
        <v>191.51224351000002</v>
      </c>
      <c r="IF53" s="23">
        <v>165.09092847739751</v>
      </c>
      <c r="IG53" s="23">
        <v>187.32314928999998</v>
      </c>
      <c r="IH53" s="23">
        <v>194.15423104999999</v>
      </c>
      <c r="II53" s="23">
        <v>191.36209900000023</v>
      </c>
      <c r="IJ53" s="23">
        <v>184.71527181000005</v>
      </c>
      <c r="IK53" s="23">
        <v>174.30725561999986</v>
      </c>
      <c r="IL53" s="23">
        <v>167.48587817000023</v>
      </c>
      <c r="IM53" s="23">
        <v>177.94259399000038</v>
      </c>
      <c r="IN53" s="23">
        <v>192.32117798000007</v>
      </c>
      <c r="IO53" s="23">
        <v>185.70098111999997</v>
      </c>
      <c r="IP53" s="23">
        <v>197.52200738000002</v>
      </c>
      <c r="IQ53" s="23">
        <v>204.51156761999997</v>
      </c>
      <c r="IR53" s="23">
        <v>184.4699483581345</v>
      </c>
      <c r="IS53" s="23">
        <v>209.7832193699999</v>
      </c>
      <c r="IT53" s="23">
        <v>213.97528592000029</v>
      </c>
      <c r="IU53" s="23">
        <v>215.2808769600002</v>
      </c>
      <c r="IV53" s="23">
        <v>202.11529916000023</v>
      </c>
      <c r="IW53" s="23">
        <v>188.98967863000024</v>
      </c>
      <c r="IX53" s="23">
        <v>182.16784859000006</v>
      </c>
      <c r="IY53" s="23">
        <v>197.50375077000052</v>
      </c>
      <c r="IZ53" s="23">
        <v>174.73464323999983</v>
      </c>
      <c r="JA53" s="23">
        <v>212.30174846000008</v>
      </c>
      <c r="JB53" s="23">
        <v>227.43771303000034</v>
      </c>
      <c r="JC53" s="23">
        <v>207.03168178999988</v>
      </c>
      <c r="JD53" s="23">
        <v>216.63398939000007</v>
      </c>
      <c r="JE53" s="23">
        <v>227.84098403999968</v>
      </c>
      <c r="JF53" s="23">
        <v>191.5188776600003</v>
      </c>
      <c r="JG53" s="23">
        <v>197.42626045000026</v>
      </c>
      <c r="JH53" s="23">
        <v>190.67514232999955</v>
      </c>
      <c r="JI53" s="23">
        <v>183.63985439999996</v>
      </c>
      <c r="JJ53" s="23">
        <v>187.70580537000021</v>
      </c>
      <c r="JK53" s="23">
        <v>181.99970590000009</v>
      </c>
      <c r="JL53" s="23">
        <v>183.24134665999998</v>
      </c>
      <c r="JM53" s="23">
        <v>203.33718751580426</v>
      </c>
      <c r="JN53" s="23">
        <v>202.27982924732598</v>
      </c>
      <c r="JO53" s="23">
        <v>207.16248986662745</v>
      </c>
      <c r="JP53" s="23">
        <v>193.77763702939069</v>
      </c>
      <c r="JQ53" s="23">
        <v>201.37163803213147</v>
      </c>
      <c r="JR53" s="23">
        <v>178.03642937596936</v>
      </c>
      <c r="JS53" s="23">
        <v>186.35196246010699</v>
      </c>
      <c r="JT53" s="23">
        <v>178.12748645874561</v>
      </c>
      <c r="JU53" s="23">
        <v>182.11745371318992</v>
      </c>
      <c r="JV53" s="23">
        <v>197.80405662659581</v>
      </c>
      <c r="JW53" s="23">
        <v>193.17478517450945</v>
      </c>
      <c r="JX53" s="23">
        <v>186.64152589967708</v>
      </c>
      <c r="JY53" s="23">
        <v>188.71286015894739</v>
      </c>
      <c r="JZ53" s="23">
        <v>192.13076309974215</v>
      </c>
      <c r="KA53" s="23">
        <v>217.37764134172591</v>
      </c>
      <c r="KB53" s="23">
        <v>188.57162723525056</v>
      </c>
      <c r="KC53" s="23">
        <v>187.97588705535415</v>
      </c>
      <c r="KD53" s="23">
        <v>200.80114624047371</v>
      </c>
      <c r="KE53" s="23">
        <v>189.83885484250018</v>
      </c>
      <c r="KF53" s="23">
        <v>179.57138383211594</v>
      </c>
      <c r="KG53" s="23">
        <v>179.25986682995261</v>
      </c>
      <c r="KH53" s="23">
        <v>156.43295848235843</v>
      </c>
      <c r="KI53" s="23">
        <v>184.59181774424007</v>
      </c>
      <c r="KJ53" s="23">
        <v>202.79579097996242</v>
      </c>
      <c r="KK53" s="23">
        <v>200.77927081047167</v>
      </c>
      <c r="KL53" s="23">
        <v>189.48406720293031</v>
      </c>
      <c r="KM53" s="23">
        <v>205.75450522483956</v>
      </c>
      <c r="KN53" s="23">
        <v>209.89182547902888</v>
      </c>
      <c r="KO53" s="23">
        <v>197.40068588802458</v>
      </c>
      <c r="KP53" s="23">
        <v>202.32924333877403</v>
      </c>
      <c r="KQ53" s="23">
        <v>190.8947168404529</v>
      </c>
      <c r="KR53" s="23">
        <v>195.57493380720919</v>
      </c>
      <c r="KS53" s="23">
        <v>197.49370183207785</v>
      </c>
      <c r="KT53" s="23">
        <v>210.46403584570356</v>
      </c>
      <c r="KU53" s="23">
        <v>254.72739005145871</v>
      </c>
      <c r="KV53" s="23">
        <v>247.21644505102529</v>
      </c>
      <c r="KW53" s="23">
        <v>213.3775140127172</v>
      </c>
      <c r="KX53" s="23">
        <v>206.67516024526762</v>
      </c>
      <c r="KY53" s="23">
        <v>223.90045397755813</v>
      </c>
      <c r="KZ53" s="23">
        <v>209.76441633416735</v>
      </c>
      <c r="LA53" s="23">
        <v>308.31663964736151</v>
      </c>
      <c r="LB53" s="23">
        <v>332.00486716660043</v>
      </c>
      <c r="LC53" s="23">
        <v>228.44963406685221</v>
      </c>
      <c r="LD53" s="23">
        <v>217.63445693943328</v>
      </c>
      <c r="LE53" s="23">
        <v>215.11693692663798</v>
      </c>
      <c r="LF53" s="23">
        <v>237.31192273312291</v>
      </c>
      <c r="LG53" s="23">
        <v>250.81917739994373</v>
      </c>
      <c r="LH53" s="23">
        <v>257.49957383092419</v>
      </c>
      <c r="LI53" s="23">
        <v>297.68191286106946</v>
      </c>
      <c r="LJ53" s="23">
        <v>254.68264671244549</v>
      </c>
      <c r="LK53" s="23">
        <v>255.97196192045178</v>
      </c>
      <c r="LL53" s="23">
        <v>212.64008972516342</v>
      </c>
      <c r="LM53" s="23">
        <v>272.20530601035841</v>
      </c>
      <c r="LN53" s="23">
        <v>247.6071912377555</v>
      </c>
      <c r="LO53" s="23">
        <v>241.48857738000001</v>
      </c>
      <c r="LP53" s="23">
        <v>252.46164801000003</v>
      </c>
      <c r="LQ53" s="23">
        <v>254.93150504000008</v>
      </c>
      <c r="LR53" s="23">
        <v>291.42830181000011</v>
      </c>
      <c r="LS53" s="23">
        <v>255.3345356013715</v>
      </c>
      <c r="LT53" s="23">
        <v>251.44717105999979</v>
      </c>
      <c r="LU53" s="149"/>
    </row>
    <row r="54" spans="1:333" x14ac:dyDescent="0.3">
      <c r="A54" s="24" t="s">
        <v>41</v>
      </c>
      <c r="B54" s="24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S54" s="25"/>
      <c r="HT54" s="25"/>
      <c r="HU54" s="25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149"/>
    </row>
    <row r="55" spans="1:333" x14ac:dyDescent="0.3">
      <c r="A55" s="24" t="s">
        <v>42</v>
      </c>
      <c r="B55" s="24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  <c r="IX55" s="2"/>
      <c r="IY55" s="2"/>
      <c r="IZ55" s="2"/>
      <c r="JA55" s="2"/>
      <c r="JB55" s="2"/>
      <c r="JC55" s="2"/>
      <c r="JD55" s="2"/>
      <c r="JE55" s="2"/>
      <c r="JF55" s="2"/>
      <c r="JG55" s="2"/>
      <c r="JH55" s="2"/>
      <c r="JI55" s="2"/>
      <c r="JJ55" s="2"/>
      <c r="JK55" s="2"/>
      <c r="JL55" s="2"/>
      <c r="JM55" s="2"/>
      <c r="JN55" s="2"/>
      <c r="JO55" s="2"/>
      <c r="JP55" s="2"/>
      <c r="JQ55" s="2"/>
      <c r="JR55" s="2"/>
      <c r="JS55" s="2"/>
      <c r="JT55" s="2"/>
      <c r="JU55" s="2"/>
      <c r="JV55" s="2"/>
      <c r="JW55" s="2"/>
      <c r="JX55" s="2"/>
      <c r="JY55" s="2"/>
      <c r="JZ55" s="2"/>
      <c r="KA55" s="2"/>
      <c r="KB55" s="2"/>
      <c r="KC55" s="2"/>
      <c r="KD55" s="2"/>
      <c r="KE55" s="2"/>
      <c r="KF55" s="2"/>
      <c r="KG55" s="2"/>
      <c r="KH55" s="2"/>
      <c r="KI55" s="2"/>
      <c r="KJ55" s="2"/>
      <c r="KK55" s="2"/>
      <c r="KL55" s="2"/>
      <c r="KM55" s="2"/>
      <c r="KN55" s="2"/>
      <c r="KO55" s="2"/>
      <c r="KP55" s="2"/>
      <c r="KQ55" s="2"/>
      <c r="KR55" s="2"/>
      <c r="KS55" s="2"/>
      <c r="KT55" s="2"/>
      <c r="KU55" s="2"/>
      <c r="KV55" s="2"/>
      <c r="KW55" s="2"/>
      <c r="KX55" s="2"/>
      <c r="KY55" s="2"/>
      <c r="KZ55" s="2"/>
      <c r="LA55" s="2"/>
      <c r="LB55" s="2"/>
      <c r="LC55" s="2"/>
      <c r="LD55" s="2"/>
      <c r="LE55" s="2"/>
      <c r="LF55" s="2"/>
      <c r="LG55" s="2"/>
      <c r="LH55" s="2"/>
      <c r="LI55" s="2"/>
      <c r="LJ55" s="2"/>
      <c r="LK55" s="2"/>
      <c r="LL55" s="2"/>
      <c r="LM55" s="2"/>
      <c r="LN55" s="2"/>
      <c r="LO55" s="2"/>
      <c r="LP55" s="2"/>
      <c r="LQ55" s="2"/>
      <c r="LR55" s="2"/>
      <c r="LS55" s="2"/>
      <c r="LT55" s="2"/>
      <c r="LU55" s="149"/>
    </row>
    <row r="56" spans="1:333" x14ac:dyDescent="0.3">
      <c r="A56" s="24" t="s">
        <v>43</v>
      </c>
      <c r="B56" s="2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  <c r="IX56" s="2"/>
      <c r="IY56" s="2"/>
      <c r="IZ56" s="2"/>
      <c r="JA56" s="2"/>
      <c r="JB56" s="2"/>
      <c r="JC56" s="2"/>
      <c r="JD56" s="2"/>
      <c r="JE56" s="2"/>
      <c r="JF56" s="2"/>
      <c r="JG56" s="2"/>
      <c r="JH56" s="2"/>
      <c r="JI56" s="2"/>
      <c r="JJ56" s="2"/>
      <c r="JK56" s="2"/>
      <c r="JL56" s="2"/>
      <c r="JM56" s="2"/>
      <c r="JN56" s="2"/>
      <c r="JO56" s="2"/>
      <c r="JP56" s="2"/>
      <c r="JQ56" s="2"/>
      <c r="JR56" s="2"/>
      <c r="JS56" s="2"/>
      <c r="JT56" s="2"/>
      <c r="JU56" s="2"/>
      <c r="JV56" s="2"/>
      <c r="JW56" s="2"/>
      <c r="JX56" s="2"/>
      <c r="JY56" s="2"/>
      <c r="JZ56" s="2"/>
      <c r="KA56" s="2"/>
      <c r="KB56" s="2"/>
      <c r="KC56" s="2"/>
      <c r="KD56" s="2"/>
      <c r="KE56" s="2"/>
      <c r="KF56" s="2"/>
      <c r="KG56" s="2"/>
      <c r="KH56" s="2"/>
      <c r="KI56" s="2"/>
      <c r="KJ56" s="2"/>
      <c r="KK56" s="2"/>
      <c r="KL56" s="2"/>
      <c r="KM56" s="2"/>
      <c r="KN56" s="2"/>
      <c r="KO56" s="2"/>
      <c r="KP56" s="2"/>
      <c r="KQ56" s="2"/>
      <c r="KR56" s="2"/>
      <c r="KS56" s="2"/>
      <c r="KT56" s="2"/>
      <c r="KU56" s="2"/>
      <c r="KV56" s="2"/>
      <c r="KW56" s="2"/>
      <c r="KX56" s="2"/>
      <c r="KY56" s="2"/>
      <c r="KZ56" s="2"/>
      <c r="LA56" s="2"/>
      <c r="LB56" s="2"/>
      <c r="LC56" s="2"/>
      <c r="LD56" s="2"/>
      <c r="LE56" s="2"/>
      <c r="LF56" s="2"/>
      <c r="LG56" s="2"/>
      <c r="LH56" s="2"/>
      <c r="LI56" s="2"/>
      <c r="LJ56" s="2"/>
      <c r="LK56" s="2"/>
      <c r="LL56" s="2"/>
      <c r="LM56" s="2"/>
      <c r="LN56" s="2"/>
      <c r="LO56" s="2"/>
      <c r="LP56" s="2"/>
      <c r="LQ56" s="2"/>
      <c r="LR56" s="2"/>
      <c r="LS56" s="2"/>
      <c r="LT56" s="2"/>
      <c r="LU56" s="149"/>
    </row>
    <row r="57" spans="1:333" x14ac:dyDescent="0.3">
      <c r="A57" s="24" t="s">
        <v>44</v>
      </c>
      <c r="B57" s="2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  <c r="JT57" s="2"/>
      <c r="JU57" s="2"/>
      <c r="JV57" s="2"/>
      <c r="JW57" s="2"/>
      <c r="JX57" s="2"/>
      <c r="JY57" s="2"/>
      <c r="JZ57" s="2"/>
      <c r="KA57" s="2"/>
      <c r="KB57" s="2"/>
      <c r="KC57" s="2"/>
      <c r="KD57" s="2"/>
      <c r="KE57" s="2"/>
      <c r="KF57" s="2"/>
      <c r="KG57" s="2"/>
      <c r="KH57" s="2"/>
      <c r="KI57" s="2"/>
      <c r="KJ57" s="2"/>
      <c r="KK57" s="2"/>
      <c r="KL57" s="2"/>
      <c r="KM57" s="2"/>
      <c r="KN57" s="2"/>
      <c r="KO57" s="2"/>
      <c r="KP57" s="2"/>
      <c r="KQ57" s="2"/>
      <c r="KR57" s="2"/>
      <c r="KS57" s="2"/>
      <c r="KT57" s="2"/>
      <c r="KU57" s="2"/>
      <c r="KV57" s="2"/>
      <c r="KW57" s="2"/>
      <c r="KX57" s="2"/>
      <c r="KY57" s="2"/>
      <c r="KZ57" s="2"/>
      <c r="LA57" s="2"/>
      <c r="LB57" s="2"/>
      <c r="LC57" s="2"/>
      <c r="LD57" s="2"/>
      <c r="LE57" s="2"/>
      <c r="LF57" s="2"/>
      <c r="LG57" s="2"/>
      <c r="LH57" s="2"/>
      <c r="LI57" s="2"/>
      <c r="LJ57" s="2"/>
      <c r="LK57" s="2"/>
      <c r="LL57" s="2"/>
      <c r="LM57" s="2"/>
      <c r="LN57" s="2"/>
      <c r="LO57" s="2"/>
      <c r="LP57" s="2"/>
      <c r="LQ57" s="2"/>
      <c r="LR57" s="2"/>
      <c r="LS57" s="2"/>
      <c r="LT57" s="2"/>
      <c r="LU57" s="149"/>
    </row>
    <row r="58" spans="1:333" x14ac:dyDescent="0.3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149"/>
    </row>
    <row r="59" spans="1:333" x14ac:dyDescent="0.3">
      <c r="A59" s="26" t="s">
        <v>45</v>
      </c>
      <c r="B59" s="26"/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  <c r="W59" s="9">
        <v>0</v>
      </c>
      <c r="X59" s="9">
        <v>0</v>
      </c>
      <c r="Y59" s="9">
        <v>0</v>
      </c>
      <c r="Z59" s="9">
        <v>0</v>
      </c>
      <c r="AA59" s="9">
        <v>0</v>
      </c>
      <c r="AB59" s="9">
        <v>0</v>
      </c>
      <c r="AC59" s="9">
        <v>0</v>
      </c>
      <c r="AD59" s="9">
        <v>0</v>
      </c>
      <c r="AE59" s="9">
        <v>0</v>
      </c>
      <c r="AF59" s="9">
        <v>0</v>
      </c>
      <c r="AG59" s="9">
        <v>0</v>
      </c>
      <c r="AH59" s="9">
        <v>0</v>
      </c>
      <c r="AI59" s="9">
        <v>0</v>
      </c>
      <c r="AJ59" s="9">
        <v>0</v>
      </c>
      <c r="AK59" s="9">
        <v>0</v>
      </c>
      <c r="AL59" s="9">
        <v>0</v>
      </c>
      <c r="AM59" s="9">
        <v>0</v>
      </c>
      <c r="AN59" s="9">
        <v>0</v>
      </c>
      <c r="AO59" s="9">
        <v>0</v>
      </c>
      <c r="AP59" s="9">
        <v>0</v>
      </c>
      <c r="AQ59" s="9">
        <v>0</v>
      </c>
      <c r="AR59" s="9">
        <v>0</v>
      </c>
      <c r="AS59" s="9">
        <v>0</v>
      </c>
      <c r="AT59" s="9">
        <v>0</v>
      </c>
      <c r="AU59" s="9">
        <v>0</v>
      </c>
      <c r="AV59" s="9">
        <v>0</v>
      </c>
      <c r="AW59" s="9">
        <v>0</v>
      </c>
      <c r="AX59" s="9">
        <v>0</v>
      </c>
      <c r="AY59" s="9">
        <v>0</v>
      </c>
      <c r="AZ59" s="9">
        <v>0</v>
      </c>
      <c r="BA59" s="9">
        <v>0</v>
      </c>
      <c r="BB59" s="9">
        <v>0</v>
      </c>
      <c r="BC59" s="9">
        <v>0</v>
      </c>
      <c r="BD59" s="9">
        <v>0</v>
      </c>
      <c r="BE59" s="9">
        <v>0</v>
      </c>
      <c r="BF59" s="9">
        <v>0</v>
      </c>
      <c r="BG59" s="9">
        <v>0</v>
      </c>
      <c r="BH59" s="9">
        <v>0</v>
      </c>
      <c r="BI59" s="9">
        <v>0</v>
      </c>
      <c r="BJ59" s="9">
        <v>0</v>
      </c>
      <c r="BK59" s="9">
        <v>0</v>
      </c>
      <c r="BL59" s="9">
        <v>0</v>
      </c>
      <c r="BM59" s="9">
        <v>0</v>
      </c>
      <c r="BN59" s="9">
        <v>0</v>
      </c>
      <c r="BO59" s="9">
        <v>0</v>
      </c>
      <c r="BP59" s="9">
        <v>0</v>
      </c>
      <c r="BQ59" s="9">
        <v>0</v>
      </c>
      <c r="BR59" s="9">
        <v>0</v>
      </c>
      <c r="BS59" s="9">
        <v>0</v>
      </c>
      <c r="BT59" s="9">
        <v>0</v>
      </c>
      <c r="BU59" s="9">
        <v>0</v>
      </c>
      <c r="BV59" s="9">
        <v>0</v>
      </c>
      <c r="BW59" s="9">
        <v>0</v>
      </c>
      <c r="BX59" s="9">
        <v>0</v>
      </c>
      <c r="BY59" s="9">
        <v>0</v>
      </c>
      <c r="BZ59" s="9">
        <v>0</v>
      </c>
      <c r="CA59" s="9">
        <v>0</v>
      </c>
      <c r="CB59" s="9">
        <v>0</v>
      </c>
      <c r="CC59" s="9">
        <v>0</v>
      </c>
      <c r="CD59" s="9">
        <v>0</v>
      </c>
      <c r="CE59" s="9">
        <v>0</v>
      </c>
      <c r="CF59" s="9">
        <v>0</v>
      </c>
      <c r="CG59" s="9">
        <v>0</v>
      </c>
      <c r="CH59" s="9">
        <v>0</v>
      </c>
      <c r="CI59" s="9">
        <v>0</v>
      </c>
      <c r="CJ59" s="9">
        <v>0</v>
      </c>
      <c r="CK59" s="9">
        <v>0</v>
      </c>
      <c r="CL59" s="9">
        <v>0</v>
      </c>
      <c r="CM59" s="9">
        <v>0</v>
      </c>
      <c r="CN59" s="9">
        <v>0</v>
      </c>
      <c r="CO59" s="9">
        <v>0</v>
      </c>
      <c r="CP59" s="9">
        <v>0</v>
      </c>
      <c r="CQ59" s="9">
        <v>0</v>
      </c>
      <c r="CR59" s="9">
        <v>0</v>
      </c>
      <c r="CS59" s="9">
        <v>0</v>
      </c>
      <c r="CT59" s="9">
        <v>0</v>
      </c>
      <c r="CU59" s="9">
        <v>0</v>
      </c>
      <c r="CV59" s="9">
        <v>0</v>
      </c>
      <c r="CW59" s="9">
        <v>0</v>
      </c>
      <c r="CX59" s="9">
        <v>0</v>
      </c>
      <c r="CY59" s="9">
        <v>0</v>
      </c>
      <c r="CZ59" s="9">
        <v>0</v>
      </c>
      <c r="DA59" s="9">
        <v>0</v>
      </c>
      <c r="DB59" s="9">
        <v>0</v>
      </c>
      <c r="DC59" s="9">
        <v>0</v>
      </c>
      <c r="DD59" s="9">
        <v>0</v>
      </c>
      <c r="DE59" s="9">
        <v>0</v>
      </c>
      <c r="DF59" s="9">
        <v>0</v>
      </c>
      <c r="DG59" s="9">
        <v>0</v>
      </c>
      <c r="DH59" s="9">
        <v>0</v>
      </c>
      <c r="DI59" s="9">
        <v>0</v>
      </c>
      <c r="DJ59" s="9">
        <v>0</v>
      </c>
      <c r="DK59" s="9">
        <v>0</v>
      </c>
      <c r="DL59" s="9">
        <v>0</v>
      </c>
      <c r="DM59" s="9">
        <v>0</v>
      </c>
      <c r="DN59" s="9">
        <v>0</v>
      </c>
      <c r="DO59" s="9">
        <v>0</v>
      </c>
      <c r="DP59" s="9">
        <v>0</v>
      </c>
      <c r="DQ59" s="9">
        <v>0</v>
      </c>
      <c r="DR59" s="9">
        <v>0</v>
      </c>
      <c r="DS59" s="9">
        <v>0</v>
      </c>
      <c r="DT59" s="9">
        <v>0</v>
      </c>
      <c r="DU59" s="9">
        <v>0</v>
      </c>
      <c r="DV59" s="9">
        <v>0</v>
      </c>
      <c r="DW59" s="9">
        <v>0</v>
      </c>
      <c r="DX59" s="9">
        <v>0</v>
      </c>
      <c r="DY59" s="9">
        <v>0</v>
      </c>
      <c r="DZ59" s="9">
        <v>0</v>
      </c>
      <c r="EA59" s="9">
        <v>0</v>
      </c>
      <c r="EB59" s="9">
        <v>0</v>
      </c>
      <c r="EC59" s="9">
        <v>0</v>
      </c>
      <c r="ED59" s="9">
        <v>0</v>
      </c>
      <c r="EE59" s="9">
        <v>0</v>
      </c>
      <c r="EF59" s="9">
        <v>0</v>
      </c>
      <c r="EG59" s="9">
        <v>0</v>
      </c>
      <c r="EH59" s="9">
        <v>0</v>
      </c>
      <c r="EI59" s="9">
        <v>0</v>
      </c>
      <c r="EJ59" s="9">
        <v>0</v>
      </c>
      <c r="EK59" s="9">
        <v>0.80630771838003157</v>
      </c>
      <c r="EL59" s="9">
        <v>0.89419525968345503</v>
      </c>
      <c r="EM59" s="9">
        <v>0.99166254298895162</v>
      </c>
      <c r="EN59" s="9">
        <v>1.0997537601747474</v>
      </c>
      <c r="EO59" s="9">
        <v>1.2196269200337948</v>
      </c>
      <c r="EP59" s="9">
        <v>1.3525662543174783</v>
      </c>
      <c r="EQ59" s="9">
        <v>1.6634955374262346</v>
      </c>
      <c r="ER59" s="9">
        <v>1.8448165510056942</v>
      </c>
      <c r="ES59" s="9">
        <v>2.0459015550653148</v>
      </c>
      <c r="ET59" s="9">
        <v>2.2689048245674339</v>
      </c>
      <c r="EU59" s="9">
        <v>2.5162154504452841</v>
      </c>
      <c r="EV59" s="9">
        <v>2.79048293454382</v>
      </c>
      <c r="EW59" s="9">
        <v>3.0946455744090962</v>
      </c>
      <c r="EX59" s="9">
        <v>3.4319619420196901</v>
      </c>
      <c r="EY59" s="9">
        <v>3.8060457936998331</v>
      </c>
      <c r="EZ59" s="9">
        <v>4.220904785213115</v>
      </c>
      <c r="FA59" s="9">
        <v>4.6809834068013441</v>
      </c>
      <c r="FB59" s="9">
        <v>5.1912105981426908</v>
      </c>
      <c r="FC59" s="9">
        <v>5.7570525533402446</v>
      </c>
      <c r="FD59" s="9">
        <v>6.3845712816543303</v>
      </c>
      <c r="FE59" s="9">
        <v>7.0804895513546535</v>
      </c>
      <c r="FF59" s="9">
        <v>7.8522629124523089</v>
      </c>
      <c r="FG59" s="9">
        <v>8.7081595699096113</v>
      </c>
      <c r="FH59" s="9">
        <v>9.657348963029758</v>
      </c>
      <c r="FI59" s="9">
        <v>10.710077360000001</v>
      </c>
      <c r="FJ59" s="9">
        <v>11.217258189999999</v>
      </c>
      <c r="FK59" s="9">
        <v>13.384313369999997</v>
      </c>
      <c r="FL59" s="9">
        <v>17.574355709999999</v>
      </c>
      <c r="FM59" s="9">
        <v>21.764399560000001</v>
      </c>
      <c r="FN59" s="9">
        <v>13.245988409999999</v>
      </c>
      <c r="FO59" s="9">
        <v>13.75317021</v>
      </c>
      <c r="FP59" s="9">
        <v>14.829186590000001</v>
      </c>
      <c r="FQ59" s="9">
        <v>15.90520278</v>
      </c>
      <c r="FR59" s="9">
        <v>20.623790609999997</v>
      </c>
      <c r="FS59" s="9">
        <v>20.335754850000001</v>
      </c>
      <c r="FT59" s="9">
        <v>26.963299549999999</v>
      </c>
      <c r="FU59" s="9">
        <v>7.8638585799999996</v>
      </c>
      <c r="FV59" s="9">
        <v>10.491826849999999</v>
      </c>
      <c r="FW59" s="9">
        <v>13.119789600000001</v>
      </c>
      <c r="FX59" s="9">
        <v>16.648706100000002</v>
      </c>
      <c r="FY59" s="9">
        <v>20.177345929999998</v>
      </c>
      <c r="FZ59" s="9">
        <v>21.035420760000001</v>
      </c>
      <c r="GA59" s="9">
        <v>23.830459350000005</v>
      </c>
      <c r="GB59" s="9">
        <v>22.275786369999999</v>
      </c>
      <c r="GC59" s="9">
        <v>20.720537520000001</v>
      </c>
      <c r="GD59" s="9">
        <v>21.60333704</v>
      </c>
      <c r="GE59" s="9">
        <v>22.486029829999996</v>
      </c>
      <c r="GF59" s="9">
        <v>31.487936140000002</v>
      </c>
      <c r="GG59" s="9">
        <v>22.892454722759986</v>
      </c>
      <c r="GH59" s="9">
        <v>25.579183019040006</v>
      </c>
      <c r="GI59" s="9">
        <v>22.601052274640001</v>
      </c>
      <c r="GJ59" s="9">
        <v>15.988279861960001</v>
      </c>
      <c r="GK59" s="9">
        <v>18.108689103119993</v>
      </c>
      <c r="GL59" s="9">
        <v>21.651741085239994</v>
      </c>
      <c r="GM59" s="9">
        <v>28.904329710723889</v>
      </c>
      <c r="GN59" s="9">
        <v>37.520729410047558</v>
      </c>
      <c r="GO59" s="9">
        <v>33.321097557013836</v>
      </c>
      <c r="GP59" s="9">
        <v>40.975873468864052</v>
      </c>
      <c r="GQ59" s="9">
        <v>65.668757887844066</v>
      </c>
      <c r="GR59" s="9">
        <v>97.65528176816288</v>
      </c>
      <c r="GS59" s="9">
        <v>51.008101724913068</v>
      </c>
      <c r="GT59" s="9">
        <v>46.097896668866838</v>
      </c>
      <c r="GU59" s="9">
        <v>43.721507981563988</v>
      </c>
      <c r="GV59" s="9">
        <v>46.034026652992523</v>
      </c>
      <c r="GW59" s="9">
        <v>43.986750522466131</v>
      </c>
      <c r="GX59" s="9">
        <v>50.301341266953379</v>
      </c>
      <c r="GY59" s="9">
        <v>44.230845859182701</v>
      </c>
      <c r="GZ59" s="9">
        <v>46.948900666902432</v>
      </c>
      <c r="HA59" s="9">
        <v>41.214107277121514</v>
      </c>
      <c r="HB59" s="9">
        <v>48.061175511132419</v>
      </c>
      <c r="HC59" s="9">
        <v>49.114630713696705</v>
      </c>
      <c r="HD59" s="9">
        <v>43.365440113867528</v>
      </c>
      <c r="HE59" s="9">
        <v>64.527198290160072</v>
      </c>
      <c r="HF59" s="9">
        <v>52.338240532850079</v>
      </c>
      <c r="HG59" s="9">
        <v>56.596027380389906</v>
      </c>
      <c r="HH59" s="9">
        <v>71.5335037395201</v>
      </c>
      <c r="HI59" s="9">
        <v>74.580648080619895</v>
      </c>
      <c r="HJ59" s="9">
        <v>58.202448109860143</v>
      </c>
      <c r="HK59" s="9">
        <v>60.049875435069978</v>
      </c>
      <c r="HL59" s="9">
        <v>61.393125370770221</v>
      </c>
      <c r="HM59" s="9">
        <v>61.741338111060131</v>
      </c>
      <c r="HN59" s="9">
        <v>71.206350429989968</v>
      </c>
      <c r="HO59" s="9">
        <v>76.286532828680009</v>
      </c>
      <c r="HP59" s="9">
        <v>95.08875403055012</v>
      </c>
      <c r="HQ59" s="9">
        <v>67.395006159999994</v>
      </c>
      <c r="HR59" s="9">
        <v>53.492133760000002</v>
      </c>
      <c r="HS59" s="9">
        <v>46.945030859999996</v>
      </c>
      <c r="HT59" s="9">
        <v>40.397918250000295</v>
      </c>
      <c r="HU59" s="9">
        <v>37.178294609999902</v>
      </c>
      <c r="HV59" s="9">
        <v>33.958665429999414</v>
      </c>
      <c r="HW59" s="9">
        <v>36.6919356599997</v>
      </c>
      <c r="HX59" s="9">
        <v>41.808096149999997</v>
      </c>
      <c r="HY59" s="9">
        <v>40.414756009999785</v>
      </c>
      <c r="HZ59" s="9">
        <v>38.834431469999998</v>
      </c>
      <c r="IA59" s="9">
        <v>45.166322319999999</v>
      </c>
      <c r="IB59" s="9">
        <v>46.054189609999995</v>
      </c>
      <c r="IC59" s="9">
        <v>31.524521409999718</v>
      </c>
      <c r="ID59" s="9">
        <v>28.367810120000094</v>
      </c>
      <c r="IE59" s="9">
        <v>25.211093499999446</v>
      </c>
      <c r="IF59" s="9">
        <v>22.967011770000127</v>
      </c>
      <c r="IG59" s="9">
        <v>29.517079690309924</v>
      </c>
      <c r="IH59" s="9">
        <v>31.800979869999697</v>
      </c>
      <c r="II59" s="9">
        <v>32.757956159999651</v>
      </c>
      <c r="IJ59" s="9">
        <v>36.530628299999726</v>
      </c>
      <c r="IK59" s="9">
        <v>29.278542800000174</v>
      </c>
      <c r="IL59" s="9">
        <v>25.701849130000205</v>
      </c>
      <c r="IM59" s="9">
        <v>30.331809710000304</v>
      </c>
      <c r="IN59" s="9">
        <v>31.847402180001076</v>
      </c>
      <c r="IO59" s="9">
        <v>31.686319510000168</v>
      </c>
      <c r="IP59" s="9">
        <v>27.796183209999402</v>
      </c>
      <c r="IQ59" s="9">
        <v>33.922443380000132</v>
      </c>
      <c r="IR59" s="9">
        <v>34.587046640000146</v>
      </c>
      <c r="IS59" s="9">
        <v>35.28034987999964</v>
      </c>
      <c r="IT59" s="9">
        <v>33.61352359999956</v>
      </c>
      <c r="IU59" s="9">
        <v>29.886976730000537</v>
      </c>
      <c r="IV59" s="9">
        <v>40.289483849999968</v>
      </c>
      <c r="IW59" s="9">
        <v>42.789633199999948</v>
      </c>
      <c r="IX59" s="9">
        <v>45.457986315500278</v>
      </c>
      <c r="IY59" s="9">
        <v>45.357085909999988</v>
      </c>
      <c r="IZ59" s="9">
        <v>53.058737440000854</v>
      </c>
      <c r="JA59" s="9">
        <v>43.836278790000378</v>
      </c>
      <c r="JB59" s="9">
        <v>34.613819220000096</v>
      </c>
      <c r="JC59" s="9">
        <v>33.272179619999847</v>
      </c>
      <c r="JD59" s="9">
        <v>31.930538289999955</v>
      </c>
      <c r="JE59" s="9">
        <v>36.549543990000608</v>
      </c>
      <c r="JF59" s="9">
        <v>31.506431829999968</v>
      </c>
      <c r="JG59" s="9">
        <v>34.045899740534956</v>
      </c>
      <c r="JH59" s="9">
        <v>36.585367651069951</v>
      </c>
      <c r="JI59" s="9">
        <v>36.161764978919955</v>
      </c>
      <c r="JJ59" s="9">
        <v>33.673727993101423</v>
      </c>
      <c r="JK59" s="9">
        <v>34.679893426829871</v>
      </c>
      <c r="JL59" s="9">
        <v>34.406184579999561</v>
      </c>
      <c r="JM59" s="9">
        <v>30.167231307929971</v>
      </c>
      <c r="JN59" s="9">
        <v>25.97980079348001</v>
      </c>
      <c r="JO59" s="9">
        <v>29.393397742940017</v>
      </c>
      <c r="JP59" s="9">
        <v>29.730898152289999</v>
      </c>
      <c r="JQ59" s="9">
        <v>34.10999368673</v>
      </c>
      <c r="JR59" s="9">
        <v>36.74158331280001</v>
      </c>
      <c r="JS59" s="9">
        <v>33.117396776690022</v>
      </c>
      <c r="JT59" s="9">
        <v>33.538249581300001</v>
      </c>
      <c r="JU59" s="9">
        <v>32.530608630670002</v>
      </c>
      <c r="JV59" s="9">
        <v>36.18317536832997</v>
      </c>
      <c r="JW59" s="9">
        <v>42.40595754977997</v>
      </c>
      <c r="JX59" s="9">
        <v>50.692358441389977</v>
      </c>
      <c r="JY59" s="9">
        <v>30.852713284029981</v>
      </c>
      <c r="JZ59" s="9">
        <v>31.957819409560003</v>
      </c>
      <c r="KA59" s="9">
        <v>35.090930045059963</v>
      </c>
      <c r="KB59" s="9">
        <v>35.47591115941001</v>
      </c>
      <c r="KC59" s="9">
        <v>37.36033904184999</v>
      </c>
      <c r="KD59" s="9">
        <v>39.376425672119993</v>
      </c>
      <c r="KE59" s="9">
        <v>30.355905281109976</v>
      </c>
      <c r="KF59" s="9">
        <v>37.123069354900004</v>
      </c>
      <c r="KG59" s="9">
        <v>28.891992302740004</v>
      </c>
      <c r="KH59" s="9">
        <v>26.989997566280017</v>
      </c>
      <c r="KI59" s="9">
        <v>26.843482822269984</v>
      </c>
      <c r="KJ59" s="9">
        <v>38.806983021909986</v>
      </c>
      <c r="KK59" s="9">
        <v>35.489353020290018</v>
      </c>
      <c r="KL59" s="9">
        <v>35.153698337880037</v>
      </c>
      <c r="KM59" s="9">
        <v>32.866775087152327</v>
      </c>
      <c r="KN59" s="9">
        <v>31.520543311703879</v>
      </c>
      <c r="KO59" s="9">
        <v>30.174311536189997</v>
      </c>
      <c r="KP59" s="9">
        <v>35.482098347229993</v>
      </c>
      <c r="KQ59" s="9">
        <v>31.64850438301006</v>
      </c>
      <c r="KR59" s="9">
        <v>31.049591378959992</v>
      </c>
      <c r="KS59" s="9">
        <v>30.450678382359975</v>
      </c>
      <c r="KT59" s="9">
        <v>38.489111976030024</v>
      </c>
      <c r="KU59" s="9">
        <v>41.157827537939966</v>
      </c>
      <c r="KV59" s="9">
        <v>45.753456203910062</v>
      </c>
      <c r="KW59" s="9">
        <v>49.912132666589955</v>
      </c>
      <c r="KX59" s="9">
        <v>42.19373333868009</v>
      </c>
      <c r="KY59" s="9">
        <v>42.783025160059999</v>
      </c>
      <c r="KZ59" s="9">
        <v>46.854347542069988</v>
      </c>
      <c r="LA59" s="9">
        <v>43.413985886159949</v>
      </c>
      <c r="LB59" s="9">
        <v>39.97362424492006</v>
      </c>
      <c r="LC59" s="9">
        <v>43.672658655139969</v>
      </c>
      <c r="LD59" s="9">
        <v>41.838047847079984</v>
      </c>
      <c r="LE59" s="9">
        <v>40.003437039020021</v>
      </c>
      <c r="LF59" s="9">
        <v>48.636212283960006</v>
      </c>
      <c r="LG59" s="9">
        <v>51.089486218230086</v>
      </c>
      <c r="LH59" s="9">
        <v>58.669530757820077</v>
      </c>
      <c r="LI59" s="9">
        <v>52.798409753336713</v>
      </c>
      <c r="LJ59" s="9">
        <v>54.185808909795625</v>
      </c>
      <c r="LK59" s="9">
        <v>55.217916473650817</v>
      </c>
      <c r="LL59" s="9">
        <v>46.939762786310055</v>
      </c>
      <c r="LM59" s="9">
        <v>52.709385644950011</v>
      </c>
      <c r="LN59" s="9">
        <v>43.269975575519958</v>
      </c>
      <c r="LO59" s="9">
        <v>43.162584521079999</v>
      </c>
      <c r="LP59" s="9">
        <v>41.471414719999927</v>
      </c>
      <c r="LQ59" s="9">
        <v>38.844683695030056</v>
      </c>
      <c r="LR59" s="9">
        <v>41.159560978703325</v>
      </c>
      <c r="LS59" s="9">
        <v>40.491886464577767</v>
      </c>
      <c r="LT59" s="9">
        <v>40.165377046103721</v>
      </c>
      <c r="LU59" s="149"/>
    </row>
    <row r="60" spans="1:333" x14ac:dyDescent="0.3">
      <c r="A60" s="19" t="s">
        <v>12</v>
      </c>
      <c r="B60" s="19"/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4">
        <v>0</v>
      </c>
      <c r="T60" s="14">
        <v>0</v>
      </c>
      <c r="U60" s="14">
        <v>0</v>
      </c>
      <c r="V60" s="14">
        <v>0</v>
      </c>
      <c r="W60" s="14">
        <v>0</v>
      </c>
      <c r="X60" s="14">
        <v>0</v>
      </c>
      <c r="Y60" s="14">
        <v>0</v>
      </c>
      <c r="Z60" s="14">
        <v>0</v>
      </c>
      <c r="AA60" s="14">
        <v>0</v>
      </c>
      <c r="AB60" s="14">
        <v>0</v>
      </c>
      <c r="AC60" s="14">
        <v>0</v>
      </c>
      <c r="AD60" s="14">
        <v>0</v>
      </c>
      <c r="AE60" s="14">
        <v>0</v>
      </c>
      <c r="AF60" s="14">
        <v>0</v>
      </c>
      <c r="AG60" s="14">
        <v>0</v>
      </c>
      <c r="AH60" s="14">
        <v>0</v>
      </c>
      <c r="AI60" s="14">
        <v>0</v>
      </c>
      <c r="AJ60" s="14">
        <v>0</v>
      </c>
      <c r="AK60" s="14">
        <v>0</v>
      </c>
      <c r="AL60" s="14">
        <v>0</v>
      </c>
      <c r="AM60" s="14">
        <v>0</v>
      </c>
      <c r="AN60" s="14">
        <v>0</v>
      </c>
      <c r="AO60" s="14">
        <v>0</v>
      </c>
      <c r="AP60" s="14">
        <v>0</v>
      </c>
      <c r="AQ60" s="14">
        <v>0</v>
      </c>
      <c r="AR60" s="14">
        <v>0</v>
      </c>
      <c r="AS60" s="14">
        <v>0</v>
      </c>
      <c r="AT60" s="14">
        <v>0</v>
      </c>
      <c r="AU60" s="14">
        <v>0</v>
      </c>
      <c r="AV60" s="14">
        <v>0</v>
      </c>
      <c r="AW60" s="14">
        <v>0</v>
      </c>
      <c r="AX60" s="14">
        <v>0</v>
      </c>
      <c r="AY60" s="14">
        <v>0</v>
      </c>
      <c r="AZ60" s="14">
        <v>0</v>
      </c>
      <c r="BA60" s="14">
        <v>0</v>
      </c>
      <c r="BB60" s="14">
        <v>0</v>
      </c>
      <c r="BC60" s="14">
        <v>0</v>
      </c>
      <c r="BD60" s="14">
        <v>0</v>
      </c>
      <c r="BE60" s="14">
        <v>0</v>
      </c>
      <c r="BF60" s="14">
        <v>0</v>
      </c>
      <c r="BG60" s="14">
        <v>0</v>
      </c>
      <c r="BH60" s="14">
        <v>0</v>
      </c>
      <c r="BI60" s="14">
        <v>0</v>
      </c>
      <c r="BJ60" s="14">
        <v>0</v>
      </c>
      <c r="BK60" s="14">
        <v>0</v>
      </c>
      <c r="BL60" s="14">
        <v>0</v>
      </c>
      <c r="BM60" s="14">
        <v>0</v>
      </c>
      <c r="BN60" s="14">
        <v>0</v>
      </c>
      <c r="BO60" s="14">
        <v>0</v>
      </c>
      <c r="BP60" s="14">
        <v>0</v>
      </c>
      <c r="BQ60" s="14">
        <v>0</v>
      </c>
      <c r="BR60" s="14">
        <v>0</v>
      </c>
      <c r="BS60" s="14">
        <v>0</v>
      </c>
      <c r="BT60" s="14">
        <v>0</v>
      </c>
      <c r="BU60" s="14">
        <v>0</v>
      </c>
      <c r="BV60" s="14">
        <v>0</v>
      </c>
      <c r="BW60" s="14">
        <v>0</v>
      </c>
      <c r="BX60" s="14">
        <v>0</v>
      </c>
      <c r="BY60" s="14">
        <v>0</v>
      </c>
      <c r="BZ60" s="14">
        <v>0</v>
      </c>
      <c r="CA60" s="14">
        <v>0</v>
      </c>
      <c r="CB60" s="14">
        <v>0</v>
      </c>
      <c r="CC60" s="14">
        <v>0</v>
      </c>
      <c r="CD60" s="14">
        <v>0</v>
      </c>
      <c r="CE60" s="14">
        <v>0</v>
      </c>
      <c r="CF60" s="14">
        <v>0</v>
      </c>
      <c r="CG60" s="14">
        <v>0</v>
      </c>
      <c r="CH60" s="14">
        <v>0</v>
      </c>
      <c r="CI60" s="14">
        <v>0</v>
      </c>
      <c r="CJ60" s="14">
        <v>0</v>
      </c>
      <c r="CK60" s="14">
        <v>0</v>
      </c>
      <c r="CL60" s="14">
        <v>0</v>
      </c>
      <c r="CM60" s="14">
        <v>0</v>
      </c>
      <c r="CN60" s="14">
        <v>0</v>
      </c>
      <c r="CO60" s="14">
        <v>0</v>
      </c>
      <c r="CP60" s="14">
        <v>0</v>
      </c>
      <c r="CQ60" s="14">
        <v>0</v>
      </c>
      <c r="CR60" s="14">
        <v>0</v>
      </c>
      <c r="CS60" s="14">
        <v>0</v>
      </c>
      <c r="CT60" s="14">
        <v>0</v>
      </c>
      <c r="CU60" s="14">
        <v>0</v>
      </c>
      <c r="CV60" s="14">
        <v>0</v>
      </c>
      <c r="CW60" s="14">
        <v>0</v>
      </c>
      <c r="CX60" s="14">
        <v>0</v>
      </c>
      <c r="CY60" s="14">
        <v>0</v>
      </c>
      <c r="CZ60" s="14">
        <v>0</v>
      </c>
      <c r="DA60" s="14">
        <v>0</v>
      </c>
      <c r="DB60" s="14">
        <v>0</v>
      </c>
      <c r="DC60" s="14">
        <v>0</v>
      </c>
      <c r="DD60" s="14">
        <v>0</v>
      </c>
      <c r="DE60" s="14">
        <v>0</v>
      </c>
      <c r="DF60" s="14">
        <v>0</v>
      </c>
      <c r="DG60" s="14">
        <v>0</v>
      </c>
      <c r="DH60" s="14">
        <v>0</v>
      </c>
      <c r="DI60" s="14">
        <v>0</v>
      </c>
      <c r="DJ60" s="14">
        <v>0</v>
      </c>
      <c r="DK60" s="14">
        <v>0</v>
      </c>
      <c r="DL60" s="14">
        <v>0</v>
      </c>
      <c r="DM60" s="14">
        <v>0</v>
      </c>
      <c r="DN60" s="14">
        <v>0</v>
      </c>
      <c r="DO60" s="14">
        <v>0</v>
      </c>
      <c r="DP60" s="14">
        <v>0</v>
      </c>
      <c r="DQ60" s="14">
        <v>0</v>
      </c>
      <c r="DR60" s="14">
        <v>0</v>
      </c>
      <c r="DS60" s="14">
        <v>0</v>
      </c>
      <c r="DT60" s="14">
        <v>0</v>
      </c>
      <c r="DU60" s="14">
        <v>0</v>
      </c>
      <c r="DV60" s="14">
        <v>0</v>
      </c>
      <c r="DW60" s="14">
        <v>0</v>
      </c>
      <c r="DX60" s="14">
        <v>0</v>
      </c>
      <c r="DY60" s="14">
        <v>0</v>
      </c>
      <c r="DZ60" s="14">
        <v>0</v>
      </c>
      <c r="EA60" s="14">
        <v>0</v>
      </c>
      <c r="EB60" s="14">
        <v>0</v>
      </c>
      <c r="EC60" s="14">
        <v>0</v>
      </c>
      <c r="ED60" s="14">
        <v>0</v>
      </c>
      <c r="EE60" s="14">
        <v>0</v>
      </c>
      <c r="EF60" s="14">
        <v>0</v>
      </c>
      <c r="EG60" s="14">
        <v>0</v>
      </c>
      <c r="EH60" s="14">
        <v>0</v>
      </c>
      <c r="EI60" s="14">
        <v>0</v>
      </c>
      <c r="EJ60" s="14">
        <v>0</v>
      </c>
      <c r="EK60" s="14">
        <v>0.11674691512313731</v>
      </c>
      <c r="EL60" s="14">
        <v>0.12947232887155929</v>
      </c>
      <c r="EM60" s="14">
        <v>0.14358481271855925</v>
      </c>
      <c r="EN60" s="14">
        <v>0.1592355573048822</v>
      </c>
      <c r="EO60" s="14">
        <v>0.17659223305111438</v>
      </c>
      <c r="EP60" s="14">
        <v>0.19584078645368583</v>
      </c>
      <c r="EQ60" s="14">
        <v>0.24086086228444559</v>
      </c>
      <c r="ER60" s="14">
        <v>0.26711469627345014</v>
      </c>
      <c r="ES60" s="14">
        <v>0.29623019816725621</v>
      </c>
      <c r="ET60" s="14">
        <v>0.32851928976748712</v>
      </c>
      <c r="EU60" s="14">
        <v>0.36432789235214319</v>
      </c>
      <c r="EV60" s="14">
        <v>0.40403963261852677</v>
      </c>
      <c r="EW60" s="14">
        <v>0.44807995257394617</v>
      </c>
      <c r="EX60" s="14">
        <v>0.49692066740450835</v>
      </c>
      <c r="EY60" s="14">
        <v>0.55108502015159733</v>
      </c>
      <c r="EZ60" s="14">
        <v>0.61115328734812113</v>
      </c>
      <c r="FA60" s="14">
        <v>0.67776899566906579</v>
      </c>
      <c r="FB60" s="14">
        <v>0.75164581619699433</v>
      </c>
      <c r="FC60" s="14">
        <v>0.83357521016246694</v>
      </c>
      <c r="FD60" s="14">
        <v>0.92443490807017581</v>
      </c>
      <c r="FE60" s="14">
        <v>1.025198313049825</v>
      </c>
      <c r="FF60" s="14">
        <v>1.136944929172256</v>
      </c>
      <c r="FG60" s="14">
        <v>1.2608719264520318</v>
      </c>
      <c r="FH60" s="14">
        <v>1.3983069664353032</v>
      </c>
      <c r="FI60" s="14">
        <v>2.3431638800000001</v>
      </c>
      <c r="FJ60" s="14">
        <v>2.4541258399999997</v>
      </c>
      <c r="FK60" s="14">
        <v>2.5561651899999998</v>
      </c>
      <c r="FL60" s="14">
        <v>4.1039227799999995</v>
      </c>
      <c r="FM60" s="14">
        <v>5.6516501699999999</v>
      </c>
      <c r="FN60" s="14">
        <v>1.83404225</v>
      </c>
      <c r="FO60" s="14">
        <v>1.9042667799999999</v>
      </c>
      <c r="FP60" s="14">
        <v>1.4107698400000002</v>
      </c>
      <c r="FQ60" s="14">
        <v>0.91727892</v>
      </c>
      <c r="FR60" s="14">
        <v>1.2972640600000001</v>
      </c>
      <c r="FS60" s="14">
        <v>2.04552193</v>
      </c>
      <c r="FT60" s="14">
        <v>2.1343303799999997</v>
      </c>
      <c r="FU60" s="14">
        <v>1.11089569</v>
      </c>
      <c r="FV60" s="14">
        <v>1.48214504</v>
      </c>
      <c r="FW60" s="14">
        <v>1.8533945700000001</v>
      </c>
      <c r="FX60" s="14">
        <v>1.7309012099999999</v>
      </c>
      <c r="FY60" s="14">
        <v>1.60840549</v>
      </c>
      <c r="FZ60" s="14">
        <v>4.2326199800000008</v>
      </c>
      <c r="GA60" s="14">
        <v>4.7950129600000002</v>
      </c>
      <c r="GB60" s="14">
        <v>3.15122079</v>
      </c>
      <c r="GC60" s="14">
        <v>1.50742551</v>
      </c>
      <c r="GD60" s="14">
        <v>1.5817248400000001</v>
      </c>
      <c r="GE60" s="14">
        <v>1.65602179</v>
      </c>
      <c r="GF60" s="14">
        <v>2.31898252</v>
      </c>
      <c r="GG60" s="14">
        <v>2.7820412541600006</v>
      </c>
      <c r="GH60" s="14">
        <v>0.98922119239999984</v>
      </c>
      <c r="GI60" s="14">
        <v>0.87405292632000009</v>
      </c>
      <c r="GJ60" s="14">
        <v>0.55723917367999998</v>
      </c>
      <c r="GK60" s="14">
        <v>0.63114165659999988</v>
      </c>
      <c r="GL60" s="14">
        <v>0.91669330367999979</v>
      </c>
      <c r="GM60" s="14">
        <v>0.68893511050783984</v>
      </c>
      <c r="GN60" s="14">
        <v>1.2389813764669599</v>
      </c>
      <c r="GO60" s="14">
        <v>1.6837109215886399</v>
      </c>
      <c r="GP60" s="14">
        <v>1.3431478101224399</v>
      </c>
      <c r="GQ60" s="14">
        <v>1.4315306113502799</v>
      </c>
      <c r="GR60" s="14">
        <v>1.62671039293196</v>
      </c>
      <c r="GS60" s="14">
        <v>1.058159980648119</v>
      </c>
      <c r="GT60" s="14">
        <v>1.3721466097796804</v>
      </c>
      <c r="GU60" s="14">
        <v>0.78629385729775947</v>
      </c>
      <c r="GV60" s="14">
        <v>1.9803567489743803</v>
      </c>
      <c r="GW60" s="14">
        <v>1.5635350775326806</v>
      </c>
      <c r="GX60" s="14">
        <v>2.3173934494222408</v>
      </c>
      <c r="GY60" s="14">
        <v>0.42915356434006052</v>
      </c>
      <c r="GZ60" s="14">
        <v>1.1478664248479404</v>
      </c>
      <c r="HA60" s="14">
        <v>1.2241991270195394</v>
      </c>
      <c r="HB60" s="14">
        <v>0.9261153281623602</v>
      </c>
      <c r="HC60" s="14">
        <v>1.06674696220064</v>
      </c>
      <c r="HD60" s="14">
        <v>0.88820150964664013</v>
      </c>
      <c r="HE60" s="14">
        <v>1.2529642829500001</v>
      </c>
      <c r="HF60" s="14">
        <v>2.2441069673200005</v>
      </c>
      <c r="HG60" s="14">
        <v>2.0401380776199995</v>
      </c>
      <c r="HH60" s="14">
        <v>2.2265544233600005</v>
      </c>
      <c r="HI60" s="14">
        <v>2.6115068944500011</v>
      </c>
      <c r="HJ60" s="14">
        <v>2.26265495552</v>
      </c>
      <c r="HK60" s="14">
        <v>2.12783377472</v>
      </c>
      <c r="HL60" s="14">
        <v>2.0286332902099997</v>
      </c>
      <c r="HM60" s="14">
        <v>1.4947925934999997</v>
      </c>
      <c r="HN60" s="14">
        <v>0.90853524418000009</v>
      </c>
      <c r="HO60" s="14">
        <v>1.15310869433</v>
      </c>
      <c r="HP60" s="14">
        <v>1.7051771824099999</v>
      </c>
      <c r="HQ60" s="14">
        <v>4.0240922499999998</v>
      </c>
      <c r="HR60" s="14">
        <v>4.9914395000000003</v>
      </c>
      <c r="HS60" s="14">
        <v>4.0092806000000003</v>
      </c>
      <c r="HT60" s="14">
        <v>3.0271210499999999</v>
      </c>
      <c r="HU60" s="14">
        <v>1.76122723</v>
      </c>
      <c r="HV60" s="14">
        <v>1.40013228</v>
      </c>
      <c r="HW60" s="14">
        <v>1.69331016</v>
      </c>
      <c r="HX60" s="14">
        <v>1.3088765</v>
      </c>
      <c r="HY60" s="14">
        <v>1.8226939600000001</v>
      </c>
      <c r="HZ60" s="14">
        <v>1.69133625</v>
      </c>
      <c r="IA60" s="14">
        <v>1.6050458799999998</v>
      </c>
      <c r="IB60" s="14">
        <v>0.87233304</v>
      </c>
      <c r="IC60" s="14">
        <v>1.355388170000001</v>
      </c>
      <c r="ID60" s="14">
        <v>0.82657157000000014</v>
      </c>
      <c r="IE60" s="14">
        <v>0.3295333700000001</v>
      </c>
      <c r="IF60" s="14">
        <v>0.95623641999999975</v>
      </c>
      <c r="IG60" s="14">
        <v>1.5420664700000002</v>
      </c>
      <c r="IH60" s="14">
        <v>0.26017375999999998</v>
      </c>
      <c r="II60" s="14">
        <v>2.2469164099999976</v>
      </c>
      <c r="IJ60" s="14">
        <v>2.1209714099999988</v>
      </c>
      <c r="IK60" s="14">
        <v>1.5926269900000007</v>
      </c>
      <c r="IL60" s="14">
        <v>1.4198061599999996</v>
      </c>
      <c r="IM60" s="14">
        <v>1.7391404499999996</v>
      </c>
      <c r="IN60" s="14">
        <v>1.2345508900000002</v>
      </c>
      <c r="IO60" s="14">
        <v>1.4797779999999987</v>
      </c>
      <c r="IP60" s="14">
        <v>1.7525370499999988</v>
      </c>
      <c r="IQ60" s="14">
        <v>1.5829199000000009</v>
      </c>
      <c r="IR60" s="14">
        <v>1.7691023300000002</v>
      </c>
      <c r="IS60" s="14">
        <v>2.096887629999999</v>
      </c>
      <c r="IT60" s="14">
        <v>2.357763350000003</v>
      </c>
      <c r="IU60" s="14">
        <v>2.1525926600000038</v>
      </c>
      <c r="IV60" s="14">
        <v>4.6216894499999936</v>
      </c>
      <c r="IW60" s="14">
        <v>4.6857383499999985</v>
      </c>
      <c r="IX60" s="14">
        <v>7.0374835800000053</v>
      </c>
      <c r="IY60" s="14">
        <v>6.7282767000000074</v>
      </c>
      <c r="IZ60" s="14">
        <v>7.8609523399999821</v>
      </c>
      <c r="JA60" s="14">
        <v>8.2096743599999957</v>
      </c>
      <c r="JB60" s="14">
        <v>5.9532090299999965</v>
      </c>
      <c r="JC60" s="14">
        <v>4.7112640900000002</v>
      </c>
      <c r="JD60" s="14">
        <v>2.671581129999995</v>
      </c>
      <c r="JE60" s="14">
        <v>2.3136879200000018</v>
      </c>
      <c r="JF60" s="14">
        <v>2.5640119100000018</v>
      </c>
      <c r="JG60" s="14">
        <v>2.101595144600001</v>
      </c>
      <c r="JH60" s="14">
        <v>1.6391783792000005</v>
      </c>
      <c r="JI60" s="14">
        <v>2.4247782495599997</v>
      </c>
      <c r="JJ60" s="14">
        <v>2.1828014999999992</v>
      </c>
      <c r="JK60" s="14">
        <v>0.81329846236000025</v>
      </c>
      <c r="JL60" s="14">
        <v>1.2876928400000005</v>
      </c>
      <c r="JM60" s="14">
        <v>1.91068273022</v>
      </c>
      <c r="JN60" s="14">
        <v>2.5336681232399991</v>
      </c>
      <c r="JO60" s="14">
        <v>1.5132825950099993</v>
      </c>
      <c r="JP60" s="14">
        <v>1.7249882990400005</v>
      </c>
      <c r="JQ60" s="14">
        <v>2.5445179681199992</v>
      </c>
      <c r="JR60" s="14">
        <v>3.1608798263400004</v>
      </c>
      <c r="JS60" s="14">
        <v>2.5676524389699993</v>
      </c>
      <c r="JT60" s="14">
        <v>2.7502657772199997</v>
      </c>
      <c r="JU60" s="14">
        <v>3.475096557160001</v>
      </c>
      <c r="JV60" s="14">
        <v>3.7875055695099999</v>
      </c>
      <c r="JW60" s="14">
        <v>3.6702345668499992</v>
      </c>
      <c r="JX60" s="14">
        <v>3.1708583445500014</v>
      </c>
      <c r="JY60" s="14">
        <v>2.0645989134200002</v>
      </c>
      <c r="JZ60" s="14">
        <v>2.3719931462799999</v>
      </c>
      <c r="KA60" s="14">
        <v>2.3469556718999991</v>
      </c>
      <c r="KB60" s="14">
        <v>2.7939339011700013</v>
      </c>
      <c r="KC60" s="14">
        <v>1.3259070419500003</v>
      </c>
      <c r="KD60" s="14">
        <v>1.1561637200099999</v>
      </c>
      <c r="KE60" s="14">
        <v>1.4913979878899994</v>
      </c>
      <c r="KF60" s="14">
        <v>5.3312350404499993</v>
      </c>
      <c r="KG60" s="14">
        <v>2.2465703539800002</v>
      </c>
      <c r="KH60" s="14">
        <v>1.1771541066899998</v>
      </c>
      <c r="KI60" s="14">
        <v>0.30537094491</v>
      </c>
      <c r="KJ60" s="14">
        <v>0.26934381836999999</v>
      </c>
      <c r="KK60" s="14">
        <v>2.4094127758000004</v>
      </c>
      <c r="KL60" s="14">
        <v>2.5637091472199995</v>
      </c>
      <c r="KM60" s="14">
        <v>2.343620379301933</v>
      </c>
      <c r="KN60" s="14">
        <v>0.79101640646470539</v>
      </c>
      <c r="KO60" s="14">
        <v>0.77370392622000017</v>
      </c>
      <c r="KP60" s="14">
        <v>0.53141933742000003</v>
      </c>
      <c r="KQ60" s="14">
        <v>0.83691661247000049</v>
      </c>
      <c r="KR60" s="14">
        <v>1.0305992712399998</v>
      </c>
      <c r="KS60" s="14">
        <v>1.2074631717699997</v>
      </c>
      <c r="KT60" s="14">
        <v>1.22686986936</v>
      </c>
      <c r="KU60" s="14">
        <v>0.44073265767000003</v>
      </c>
      <c r="KV60" s="14">
        <v>0.6591977628200002</v>
      </c>
      <c r="KW60" s="14">
        <v>12.703562895560006</v>
      </c>
      <c r="KX60" s="14">
        <v>8.0570017574000019</v>
      </c>
      <c r="KY60" s="14">
        <v>4.3445361010399992</v>
      </c>
      <c r="KZ60" s="14">
        <v>8.3106384118700003</v>
      </c>
      <c r="LA60" s="14">
        <v>4.0052567330900004</v>
      </c>
      <c r="LB60" s="14">
        <v>2.7522577803100003</v>
      </c>
      <c r="LC60" s="14">
        <v>1.0300906059399999</v>
      </c>
      <c r="LD60" s="14">
        <v>0.98198371496500003</v>
      </c>
      <c r="LE60" s="14">
        <v>0.93387682399000005</v>
      </c>
      <c r="LF60" s="14">
        <v>2.0291043494000003</v>
      </c>
      <c r="LG60" s="14">
        <v>1.8503555011800006</v>
      </c>
      <c r="LH60" s="14">
        <v>1.4908457583000003</v>
      </c>
      <c r="LI60" s="14">
        <v>1.7901018696266671</v>
      </c>
      <c r="LJ60" s="14">
        <v>1.7104343763688894</v>
      </c>
      <c r="LK60" s="14">
        <v>1.6637940014318524</v>
      </c>
      <c r="LL60" s="14">
        <v>5.0767819530699985</v>
      </c>
      <c r="LM60" s="14">
        <v>3.4126160201100002</v>
      </c>
      <c r="LN60" s="14">
        <v>1.8826402858599998</v>
      </c>
      <c r="LO60" s="14">
        <v>0.87584994978999997</v>
      </c>
      <c r="LP60" s="14">
        <v>0.64068019000000009</v>
      </c>
      <c r="LQ60" s="14">
        <v>0.74868451033999994</v>
      </c>
      <c r="LR60" s="14">
        <v>0.75507155004333337</v>
      </c>
      <c r="LS60" s="14">
        <v>0.71481208346111103</v>
      </c>
      <c r="LT60" s="14">
        <v>0.73952271461481478</v>
      </c>
      <c r="LU60" s="149"/>
    </row>
    <row r="61" spans="1:333" x14ac:dyDescent="0.3">
      <c r="A61" s="19" t="s">
        <v>13</v>
      </c>
      <c r="B61" s="19"/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4">
        <v>0</v>
      </c>
      <c r="T61" s="14">
        <v>0</v>
      </c>
      <c r="U61" s="14">
        <v>0</v>
      </c>
      <c r="V61" s="14">
        <v>0</v>
      </c>
      <c r="W61" s="14">
        <v>0</v>
      </c>
      <c r="X61" s="14">
        <v>0</v>
      </c>
      <c r="Y61" s="14">
        <v>0</v>
      </c>
      <c r="Z61" s="14">
        <v>0</v>
      </c>
      <c r="AA61" s="14">
        <v>0</v>
      </c>
      <c r="AB61" s="14">
        <v>0</v>
      </c>
      <c r="AC61" s="14">
        <v>0</v>
      </c>
      <c r="AD61" s="14">
        <v>0</v>
      </c>
      <c r="AE61" s="14">
        <v>0</v>
      </c>
      <c r="AF61" s="14">
        <v>0</v>
      </c>
      <c r="AG61" s="14">
        <v>0</v>
      </c>
      <c r="AH61" s="14">
        <v>0</v>
      </c>
      <c r="AI61" s="14">
        <v>0</v>
      </c>
      <c r="AJ61" s="14">
        <v>0</v>
      </c>
      <c r="AK61" s="14">
        <v>0</v>
      </c>
      <c r="AL61" s="14">
        <v>0</v>
      </c>
      <c r="AM61" s="14">
        <v>0</v>
      </c>
      <c r="AN61" s="14">
        <v>0</v>
      </c>
      <c r="AO61" s="14">
        <v>0</v>
      </c>
      <c r="AP61" s="14">
        <v>0</v>
      </c>
      <c r="AQ61" s="14">
        <v>0</v>
      </c>
      <c r="AR61" s="14">
        <v>0</v>
      </c>
      <c r="AS61" s="14">
        <v>0</v>
      </c>
      <c r="AT61" s="14">
        <v>0</v>
      </c>
      <c r="AU61" s="14">
        <v>0</v>
      </c>
      <c r="AV61" s="14">
        <v>0</v>
      </c>
      <c r="AW61" s="14">
        <v>0</v>
      </c>
      <c r="AX61" s="14">
        <v>0</v>
      </c>
      <c r="AY61" s="14">
        <v>0</v>
      </c>
      <c r="AZ61" s="14">
        <v>0</v>
      </c>
      <c r="BA61" s="14">
        <v>0</v>
      </c>
      <c r="BB61" s="14">
        <v>0</v>
      </c>
      <c r="BC61" s="14">
        <v>0</v>
      </c>
      <c r="BD61" s="14">
        <v>0</v>
      </c>
      <c r="BE61" s="14">
        <v>0</v>
      </c>
      <c r="BF61" s="14">
        <v>0</v>
      </c>
      <c r="BG61" s="14">
        <v>0</v>
      </c>
      <c r="BH61" s="14">
        <v>0</v>
      </c>
      <c r="BI61" s="14">
        <v>0</v>
      </c>
      <c r="BJ61" s="14">
        <v>0</v>
      </c>
      <c r="BK61" s="14">
        <v>0</v>
      </c>
      <c r="BL61" s="14">
        <v>0</v>
      </c>
      <c r="BM61" s="14">
        <v>0</v>
      </c>
      <c r="BN61" s="14">
        <v>0</v>
      </c>
      <c r="BO61" s="14">
        <v>0</v>
      </c>
      <c r="BP61" s="14">
        <v>0</v>
      </c>
      <c r="BQ61" s="14">
        <v>0</v>
      </c>
      <c r="BR61" s="14">
        <v>0</v>
      </c>
      <c r="BS61" s="14">
        <v>0</v>
      </c>
      <c r="BT61" s="14">
        <v>0</v>
      </c>
      <c r="BU61" s="14">
        <v>0</v>
      </c>
      <c r="BV61" s="14">
        <v>0</v>
      </c>
      <c r="BW61" s="14">
        <v>0</v>
      </c>
      <c r="BX61" s="14">
        <v>0</v>
      </c>
      <c r="BY61" s="14">
        <v>0</v>
      </c>
      <c r="BZ61" s="14">
        <v>0</v>
      </c>
      <c r="CA61" s="14">
        <v>0</v>
      </c>
      <c r="CB61" s="14">
        <v>0</v>
      </c>
      <c r="CC61" s="14">
        <v>0</v>
      </c>
      <c r="CD61" s="14">
        <v>0</v>
      </c>
      <c r="CE61" s="14">
        <v>0</v>
      </c>
      <c r="CF61" s="14">
        <v>0</v>
      </c>
      <c r="CG61" s="14">
        <v>0</v>
      </c>
      <c r="CH61" s="14">
        <v>0</v>
      </c>
      <c r="CI61" s="14">
        <v>0</v>
      </c>
      <c r="CJ61" s="14">
        <v>0</v>
      </c>
      <c r="CK61" s="14">
        <v>0</v>
      </c>
      <c r="CL61" s="14">
        <v>0</v>
      </c>
      <c r="CM61" s="14">
        <v>0</v>
      </c>
      <c r="CN61" s="14">
        <v>0</v>
      </c>
      <c r="CO61" s="14">
        <v>0</v>
      </c>
      <c r="CP61" s="14">
        <v>0</v>
      </c>
      <c r="CQ61" s="14">
        <v>0</v>
      </c>
      <c r="CR61" s="14">
        <v>0</v>
      </c>
      <c r="CS61" s="14">
        <v>0</v>
      </c>
      <c r="CT61" s="14">
        <v>0</v>
      </c>
      <c r="CU61" s="14">
        <v>0</v>
      </c>
      <c r="CV61" s="14">
        <v>0</v>
      </c>
      <c r="CW61" s="14">
        <v>0</v>
      </c>
      <c r="CX61" s="14">
        <v>0</v>
      </c>
      <c r="CY61" s="14">
        <v>0</v>
      </c>
      <c r="CZ61" s="14">
        <v>0</v>
      </c>
      <c r="DA61" s="14">
        <v>0</v>
      </c>
      <c r="DB61" s="14">
        <v>0</v>
      </c>
      <c r="DC61" s="14">
        <v>0</v>
      </c>
      <c r="DD61" s="14">
        <v>0</v>
      </c>
      <c r="DE61" s="14">
        <v>0</v>
      </c>
      <c r="DF61" s="14">
        <v>0</v>
      </c>
      <c r="DG61" s="14">
        <v>0</v>
      </c>
      <c r="DH61" s="14">
        <v>0</v>
      </c>
      <c r="DI61" s="14">
        <v>0</v>
      </c>
      <c r="DJ61" s="14">
        <v>0</v>
      </c>
      <c r="DK61" s="14">
        <v>0</v>
      </c>
      <c r="DL61" s="14">
        <v>0</v>
      </c>
      <c r="DM61" s="14">
        <v>0</v>
      </c>
      <c r="DN61" s="14">
        <v>0</v>
      </c>
      <c r="DO61" s="14">
        <v>0</v>
      </c>
      <c r="DP61" s="14">
        <v>0</v>
      </c>
      <c r="DQ61" s="14">
        <v>0</v>
      </c>
      <c r="DR61" s="14">
        <v>0</v>
      </c>
      <c r="DS61" s="14">
        <v>0</v>
      </c>
      <c r="DT61" s="14">
        <v>0</v>
      </c>
      <c r="DU61" s="14">
        <v>0</v>
      </c>
      <c r="DV61" s="14">
        <v>0</v>
      </c>
      <c r="DW61" s="14">
        <v>0</v>
      </c>
      <c r="DX61" s="14">
        <v>0</v>
      </c>
      <c r="DY61" s="14">
        <v>0</v>
      </c>
      <c r="DZ61" s="14">
        <v>0</v>
      </c>
      <c r="EA61" s="14">
        <v>0</v>
      </c>
      <c r="EB61" s="14">
        <v>0</v>
      </c>
      <c r="EC61" s="14">
        <v>0</v>
      </c>
      <c r="ED61" s="14">
        <v>0</v>
      </c>
      <c r="EE61" s="14">
        <v>0</v>
      </c>
      <c r="EF61" s="14">
        <v>0</v>
      </c>
      <c r="EG61" s="14">
        <v>0</v>
      </c>
      <c r="EH61" s="14">
        <v>0</v>
      </c>
      <c r="EI61" s="14">
        <v>0</v>
      </c>
      <c r="EJ61" s="14">
        <v>0</v>
      </c>
      <c r="EK61" s="14">
        <v>0.10643362473272494</v>
      </c>
      <c r="EL61" s="14">
        <v>0.11803488982859196</v>
      </c>
      <c r="EM61" s="14">
        <v>0.13090069281990849</v>
      </c>
      <c r="EN61" s="14">
        <v>0.14516886833727852</v>
      </c>
      <c r="EO61" s="14">
        <v>0.16099227498604185</v>
      </c>
      <c r="EP61" s="14">
        <v>0.17854043295952043</v>
      </c>
      <c r="EQ61" s="14">
        <v>0.21958348622868792</v>
      </c>
      <c r="ER61" s="14">
        <v>0.24351808622761492</v>
      </c>
      <c r="ES61" s="14">
        <v>0.27006155762642498</v>
      </c>
      <c r="ET61" s="14">
        <v>0.29949826740770524</v>
      </c>
      <c r="EU61" s="14">
        <v>0.33214357855514504</v>
      </c>
      <c r="EV61" s="14">
        <v>0.3683472286176559</v>
      </c>
      <c r="EW61" s="14">
        <v>0.40849707653698036</v>
      </c>
      <c r="EX61" s="14">
        <v>0.45302325787951114</v>
      </c>
      <c r="EY61" s="14">
        <v>0.50240279298837776</v>
      </c>
      <c r="EZ61" s="14">
        <v>0.55716469742411101</v>
      </c>
      <c r="FA61" s="14">
        <v>0.61789564944333908</v>
      </c>
      <c r="FB61" s="14">
        <v>0.68524627523266302</v>
      </c>
      <c r="FC61" s="14">
        <v>0.75993811923302323</v>
      </c>
      <c r="FD61" s="14">
        <v>0.84277137422942272</v>
      </c>
      <c r="FE61" s="14">
        <v>0.93463345402042985</v>
      </c>
      <c r="FF61" s="14">
        <v>1.0365085005086567</v>
      </c>
      <c r="FG61" s="14">
        <v>1.1494879270641003</v>
      </c>
      <c r="FH61" s="14">
        <v>1.2747821111140871</v>
      </c>
      <c r="FI61" s="14">
        <v>1.80692122</v>
      </c>
      <c r="FJ61" s="14">
        <v>1.8924890300000001</v>
      </c>
      <c r="FK61" s="14">
        <v>2.5933774700000001</v>
      </c>
      <c r="FL61" s="14">
        <v>3.1986343399999999</v>
      </c>
      <c r="FM61" s="14">
        <v>3.8038671399999999</v>
      </c>
      <c r="FN61" s="14">
        <v>3.18788011</v>
      </c>
      <c r="FO61" s="14">
        <v>3.3099425199999999</v>
      </c>
      <c r="FP61" s="14">
        <v>2.7015472099999998</v>
      </c>
      <c r="FQ61" s="14">
        <v>2.0931644600000001</v>
      </c>
      <c r="FR61" s="14">
        <v>2.11134208</v>
      </c>
      <c r="FS61" s="14">
        <v>1.9657032800000001</v>
      </c>
      <c r="FT61" s="14">
        <v>2.2179985899999997</v>
      </c>
      <c r="FU61" s="14">
        <v>0.99223815999999998</v>
      </c>
      <c r="FV61" s="14">
        <v>1.32383344</v>
      </c>
      <c r="FW61" s="14">
        <v>1.65542893</v>
      </c>
      <c r="FX61" s="14">
        <v>2.2227036400000002</v>
      </c>
      <c r="FY61" s="14">
        <v>2.7899767799999999</v>
      </c>
      <c r="FZ61" s="14">
        <v>1.9751108899999998</v>
      </c>
      <c r="GA61" s="14">
        <v>2.2375461200000002</v>
      </c>
      <c r="GB61" s="14">
        <v>1.7231595900000001</v>
      </c>
      <c r="GC61" s="14">
        <v>1.2087707400000001</v>
      </c>
      <c r="GD61" s="14">
        <v>1.1917077600000001</v>
      </c>
      <c r="GE61" s="14">
        <v>1.1746425900000002</v>
      </c>
      <c r="GF61" s="14">
        <v>1.6448910700000001</v>
      </c>
      <c r="GG61" s="14">
        <v>1.0783708104399996</v>
      </c>
      <c r="GH61" s="14">
        <v>0.90888766947999999</v>
      </c>
      <c r="GI61" s="14">
        <v>0.80307164588000013</v>
      </c>
      <c r="GJ61" s="14">
        <v>0.29977650668000005</v>
      </c>
      <c r="GK61" s="14">
        <v>0.33953369127999999</v>
      </c>
      <c r="GL61" s="14">
        <v>0.70190140720000005</v>
      </c>
      <c r="GM61" s="14">
        <v>0.94465297578064</v>
      </c>
      <c r="GN61" s="14">
        <v>0.85593266288768022</v>
      </c>
      <c r="GO61" s="14">
        <v>0.89351587614436001</v>
      </c>
      <c r="GP61" s="14">
        <v>1.088211167841</v>
      </c>
      <c r="GQ61" s="14">
        <v>2.1783935017835194</v>
      </c>
      <c r="GR61" s="14">
        <v>2.2520874197102403</v>
      </c>
      <c r="GS61" s="14">
        <v>0.81701305183917994</v>
      </c>
      <c r="GT61" s="14">
        <v>1.3873108111013199</v>
      </c>
      <c r="GU61" s="14">
        <v>0.80588317211276028</v>
      </c>
      <c r="GV61" s="14">
        <v>0.87627030662486016</v>
      </c>
      <c r="GW61" s="14">
        <v>1.8995285668662798</v>
      </c>
      <c r="GX61" s="14">
        <v>3.621710055984861</v>
      </c>
      <c r="GY61" s="14">
        <v>1.2951369214765791</v>
      </c>
      <c r="GZ61" s="14">
        <v>1.311908362097201</v>
      </c>
      <c r="HA61" s="14">
        <v>1.1108898572485004</v>
      </c>
      <c r="HB61" s="14">
        <v>1.6767326454846794</v>
      </c>
      <c r="HC61" s="14">
        <v>2.5750070913954799</v>
      </c>
      <c r="HD61" s="14">
        <v>1.3650938816400191</v>
      </c>
      <c r="HE61" s="14">
        <v>3.6070980531299988</v>
      </c>
      <c r="HF61" s="14">
        <v>1.4647973380199999</v>
      </c>
      <c r="HG61" s="14">
        <v>1.7277949402000001</v>
      </c>
      <c r="HH61" s="14">
        <v>2.1017591558500004</v>
      </c>
      <c r="HI61" s="14">
        <v>1.8588720105500005</v>
      </c>
      <c r="HJ61" s="14">
        <v>2.3641817695500005</v>
      </c>
      <c r="HK61" s="14">
        <v>3.9870309960000001</v>
      </c>
      <c r="HL61" s="14">
        <v>3.8186659127299998</v>
      </c>
      <c r="HM61" s="14">
        <v>3.2398227463399998</v>
      </c>
      <c r="HN61" s="14">
        <v>3.1146832242900002</v>
      </c>
      <c r="HO61" s="14">
        <v>6.4896362980799998</v>
      </c>
      <c r="HP61" s="14">
        <v>6.89729753609</v>
      </c>
      <c r="HQ61" s="14">
        <v>2.8132133100000001</v>
      </c>
      <c r="HR61" s="14">
        <v>1.5475007000000001</v>
      </c>
      <c r="HS61" s="14">
        <v>1.2239405000000001</v>
      </c>
      <c r="HT61" s="14">
        <v>0.90037960999999911</v>
      </c>
      <c r="HU61" s="14">
        <v>1.76185408</v>
      </c>
      <c r="HV61" s="14">
        <v>1.4807372599999999</v>
      </c>
      <c r="HW61" s="14">
        <v>1.19536843</v>
      </c>
      <c r="HX61" s="14">
        <v>0.93972967000000007</v>
      </c>
      <c r="HY61" s="14">
        <v>0.47787327000000002</v>
      </c>
      <c r="HZ61" s="14">
        <v>1.53574637</v>
      </c>
      <c r="IA61" s="14">
        <v>2.7424291800000002</v>
      </c>
      <c r="IB61" s="14">
        <v>4.8585737999999994</v>
      </c>
      <c r="IC61" s="14">
        <v>2.3193771099999969</v>
      </c>
      <c r="ID61" s="14">
        <v>1.6564849500000012</v>
      </c>
      <c r="IE61" s="14">
        <v>1.0728376900000001</v>
      </c>
      <c r="IF61" s="14">
        <v>1.4487197400000007</v>
      </c>
      <c r="IG61" s="14">
        <v>1.4109888499999999</v>
      </c>
      <c r="IH61" s="14">
        <v>2.5589002700000023</v>
      </c>
      <c r="II61" s="14">
        <v>1.3233963899999996</v>
      </c>
      <c r="IJ61" s="14">
        <v>1.4657451599999984</v>
      </c>
      <c r="IK61" s="14">
        <v>1.6369948499999996</v>
      </c>
      <c r="IL61" s="14">
        <v>1.04869122</v>
      </c>
      <c r="IM61" s="14">
        <v>2.2872557899999997</v>
      </c>
      <c r="IN61" s="14">
        <v>3.0037281200000012</v>
      </c>
      <c r="IO61" s="14">
        <v>2.6304758699999997</v>
      </c>
      <c r="IP61" s="14">
        <v>1.306553869999999</v>
      </c>
      <c r="IQ61" s="14">
        <v>0.66275758999999945</v>
      </c>
      <c r="IR61" s="14">
        <v>0.80761923000000002</v>
      </c>
      <c r="IS61" s="14">
        <v>1.0171240899999996</v>
      </c>
      <c r="IT61" s="14">
        <v>2.2242708599999981</v>
      </c>
      <c r="IU61" s="14">
        <v>1.4765158800000009</v>
      </c>
      <c r="IV61" s="14">
        <v>1.3495479299999995</v>
      </c>
      <c r="IW61" s="14">
        <v>1.5805020400000001</v>
      </c>
      <c r="IX61" s="14">
        <v>2.2948320899999977</v>
      </c>
      <c r="IY61" s="14">
        <v>3.43032855</v>
      </c>
      <c r="IZ61" s="14">
        <v>3.188372440000002</v>
      </c>
      <c r="JA61" s="14">
        <v>1.7785454000000001</v>
      </c>
      <c r="JB61" s="14">
        <v>1.8450062199999999</v>
      </c>
      <c r="JC61" s="14">
        <v>1.088200210000001</v>
      </c>
      <c r="JD61" s="14">
        <v>0.73552334000000053</v>
      </c>
      <c r="JE61" s="14">
        <v>1.0758750500000009</v>
      </c>
      <c r="JF61" s="14">
        <v>2.2169040299999976</v>
      </c>
      <c r="JG61" s="14">
        <v>1.9018123235349991</v>
      </c>
      <c r="JH61" s="14">
        <v>1.5867206170700003</v>
      </c>
      <c r="JI61" s="14">
        <v>1.2984151802699988</v>
      </c>
      <c r="JJ61" s="14">
        <v>2.3564998199999998</v>
      </c>
      <c r="JK61" s="14">
        <v>3.3842922246500029</v>
      </c>
      <c r="JL61" s="14">
        <v>3.0102989</v>
      </c>
      <c r="JM61" s="14">
        <v>2.0337999015999997</v>
      </c>
      <c r="JN61" s="14">
        <v>1.05502726948</v>
      </c>
      <c r="JO61" s="14">
        <v>0.89807713059000005</v>
      </c>
      <c r="JP61" s="14">
        <v>0.75284772155999991</v>
      </c>
      <c r="JQ61" s="14">
        <v>0.85003478218000017</v>
      </c>
      <c r="JR61" s="14">
        <v>3.5683167565199998</v>
      </c>
      <c r="JS61" s="14">
        <v>1.87663493487</v>
      </c>
      <c r="JT61" s="14">
        <v>1.2597802783000001</v>
      </c>
      <c r="JU61" s="14">
        <v>0.87356736661000001</v>
      </c>
      <c r="JV61" s="14">
        <v>2.5956834725299993</v>
      </c>
      <c r="JW61" s="14">
        <v>3.8624399918199996</v>
      </c>
      <c r="JX61" s="14">
        <v>4.6117276254700004</v>
      </c>
      <c r="JY61" s="14">
        <v>0.88895552344000006</v>
      </c>
      <c r="JZ61" s="14">
        <v>1.1737764684400001</v>
      </c>
      <c r="KA61" s="14">
        <v>0.85228068539999957</v>
      </c>
      <c r="KB61" s="14">
        <v>0.39888244956999996</v>
      </c>
      <c r="KC61" s="14">
        <v>0.62623021636000009</v>
      </c>
      <c r="KD61" s="14">
        <v>1.9331549436099997</v>
      </c>
      <c r="KE61" s="14">
        <v>1.4179332965099998</v>
      </c>
      <c r="KF61" s="14">
        <v>1.6866150273099996</v>
      </c>
      <c r="KG61" s="14">
        <v>0.68790073209000002</v>
      </c>
      <c r="KH61" s="14">
        <v>0.95214987312999988</v>
      </c>
      <c r="KI61" s="14">
        <v>3.1689770198100002</v>
      </c>
      <c r="KJ61" s="14">
        <v>4.8335140692900014</v>
      </c>
      <c r="KK61" s="14">
        <v>2.9369670545400015</v>
      </c>
      <c r="KL61" s="14">
        <v>1.4704957638599998</v>
      </c>
      <c r="KM61" s="14">
        <v>1.3845042999584283</v>
      </c>
      <c r="KN61" s="14">
        <v>0.87217698490768758</v>
      </c>
      <c r="KO61" s="14">
        <v>0.82256160196000061</v>
      </c>
      <c r="KP61" s="14">
        <v>2.4656747440400002</v>
      </c>
      <c r="KQ61" s="14">
        <v>2.1339436513599996</v>
      </c>
      <c r="KR61" s="14">
        <v>0.69512859362000012</v>
      </c>
      <c r="KS61" s="14">
        <v>0.71554523449000007</v>
      </c>
      <c r="KT61" s="14">
        <v>4.14248989813</v>
      </c>
      <c r="KU61" s="14">
        <v>4.8928272453200012</v>
      </c>
      <c r="KV61" s="14">
        <v>5.0495430039599984</v>
      </c>
      <c r="KW61" s="14">
        <v>2.6232183917099996</v>
      </c>
      <c r="KX61" s="14">
        <v>1.3366000359999994</v>
      </c>
      <c r="KY61" s="14">
        <v>5.333198158060001</v>
      </c>
      <c r="KZ61" s="14">
        <v>4.2379438354499994</v>
      </c>
      <c r="LA61" s="14">
        <v>4.8595682034100012</v>
      </c>
      <c r="LB61" s="14">
        <v>3.9268090611500002</v>
      </c>
      <c r="LC61" s="14">
        <v>2.7761402361500007</v>
      </c>
      <c r="LD61" s="14">
        <v>2.0786307868700002</v>
      </c>
      <c r="LE61" s="14">
        <v>1.3811213375899993</v>
      </c>
      <c r="LF61" s="14">
        <v>5.4769969167700028</v>
      </c>
      <c r="LG61" s="14">
        <v>6.8089240510000071</v>
      </c>
      <c r="LH61" s="14">
        <v>4.8678818821400016</v>
      </c>
      <c r="LI61" s="14">
        <v>5.7179342833033378</v>
      </c>
      <c r="LJ61" s="14">
        <v>5.7982467388144476</v>
      </c>
      <c r="LK61" s="14">
        <v>5.461354301419262</v>
      </c>
      <c r="LL61" s="14">
        <v>1.66221997875</v>
      </c>
      <c r="LM61" s="14">
        <v>9.2871823623000029</v>
      </c>
      <c r="LN61" s="14">
        <v>4.8473045077700023</v>
      </c>
      <c r="LO61" s="14">
        <v>1.9894203553700003</v>
      </c>
      <c r="LP61" s="14">
        <v>1.9196969400000004</v>
      </c>
      <c r="LQ61" s="14">
        <v>1.3047563988199999</v>
      </c>
      <c r="LR61" s="14">
        <v>1.7379578980633335</v>
      </c>
      <c r="LS61" s="14">
        <v>1.6541370789611114</v>
      </c>
      <c r="LT61" s="14">
        <v>1.5656171252814817</v>
      </c>
      <c r="LU61" s="149"/>
    </row>
    <row r="62" spans="1:333" x14ac:dyDescent="0.3">
      <c r="A62" s="19" t="s">
        <v>36</v>
      </c>
      <c r="B62" s="19"/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4">
        <v>0</v>
      </c>
      <c r="T62" s="14">
        <v>0</v>
      </c>
      <c r="U62" s="14">
        <v>0</v>
      </c>
      <c r="V62" s="14">
        <v>0</v>
      </c>
      <c r="W62" s="14">
        <v>0</v>
      </c>
      <c r="X62" s="14">
        <v>0</v>
      </c>
      <c r="Y62" s="14">
        <v>0</v>
      </c>
      <c r="Z62" s="14">
        <v>0</v>
      </c>
      <c r="AA62" s="14">
        <v>0</v>
      </c>
      <c r="AB62" s="14">
        <v>0</v>
      </c>
      <c r="AC62" s="14">
        <v>0</v>
      </c>
      <c r="AD62" s="14">
        <v>0</v>
      </c>
      <c r="AE62" s="14">
        <v>0</v>
      </c>
      <c r="AF62" s="14">
        <v>0</v>
      </c>
      <c r="AG62" s="14">
        <v>0</v>
      </c>
      <c r="AH62" s="14">
        <v>0</v>
      </c>
      <c r="AI62" s="14">
        <v>0</v>
      </c>
      <c r="AJ62" s="14">
        <v>0</v>
      </c>
      <c r="AK62" s="14">
        <v>0</v>
      </c>
      <c r="AL62" s="14">
        <v>0</v>
      </c>
      <c r="AM62" s="14">
        <v>0</v>
      </c>
      <c r="AN62" s="14">
        <v>0</v>
      </c>
      <c r="AO62" s="14">
        <v>0</v>
      </c>
      <c r="AP62" s="14">
        <v>0</v>
      </c>
      <c r="AQ62" s="14">
        <v>0</v>
      </c>
      <c r="AR62" s="14">
        <v>0</v>
      </c>
      <c r="AS62" s="14">
        <v>0</v>
      </c>
      <c r="AT62" s="14">
        <v>0</v>
      </c>
      <c r="AU62" s="14">
        <v>0</v>
      </c>
      <c r="AV62" s="14">
        <v>0</v>
      </c>
      <c r="AW62" s="14">
        <v>0</v>
      </c>
      <c r="AX62" s="14">
        <v>0</v>
      </c>
      <c r="AY62" s="14">
        <v>0</v>
      </c>
      <c r="AZ62" s="14">
        <v>0</v>
      </c>
      <c r="BA62" s="14">
        <v>0</v>
      </c>
      <c r="BB62" s="14">
        <v>0</v>
      </c>
      <c r="BC62" s="14">
        <v>0</v>
      </c>
      <c r="BD62" s="14">
        <v>0</v>
      </c>
      <c r="BE62" s="14">
        <v>0</v>
      </c>
      <c r="BF62" s="14">
        <v>0</v>
      </c>
      <c r="BG62" s="14">
        <v>0</v>
      </c>
      <c r="BH62" s="14">
        <v>0</v>
      </c>
      <c r="BI62" s="14">
        <v>0</v>
      </c>
      <c r="BJ62" s="14">
        <v>0</v>
      </c>
      <c r="BK62" s="14">
        <v>0</v>
      </c>
      <c r="BL62" s="14">
        <v>0</v>
      </c>
      <c r="BM62" s="14">
        <v>0</v>
      </c>
      <c r="BN62" s="14">
        <v>0</v>
      </c>
      <c r="BO62" s="14">
        <v>0</v>
      </c>
      <c r="BP62" s="14">
        <v>0</v>
      </c>
      <c r="BQ62" s="14">
        <v>0</v>
      </c>
      <c r="BR62" s="14">
        <v>0</v>
      </c>
      <c r="BS62" s="14">
        <v>0</v>
      </c>
      <c r="BT62" s="14">
        <v>0</v>
      </c>
      <c r="BU62" s="14">
        <v>0</v>
      </c>
      <c r="BV62" s="14">
        <v>0</v>
      </c>
      <c r="BW62" s="14">
        <v>0</v>
      </c>
      <c r="BX62" s="14">
        <v>0</v>
      </c>
      <c r="BY62" s="14">
        <v>0</v>
      </c>
      <c r="BZ62" s="14">
        <v>0</v>
      </c>
      <c r="CA62" s="14">
        <v>0</v>
      </c>
      <c r="CB62" s="14">
        <v>0</v>
      </c>
      <c r="CC62" s="14">
        <v>0</v>
      </c>
      <c r="CD62" s="14">
        <v>0</v>
      </c>
      <c r="CE62" s="14">
        <v>0</v>
      </c>
      <c r="CF62" s="14">
        <v>0</v>
      </c>
      <c r="CG62" s="14">
        <v>0</v>
      </c>
      <c r="CH62" s="14">
        <v>0</v>
      </c>
      <c r="CI62" s="14">
        <v>0</v>
      </c>
      <c r="CJ62" s="14">
        <v>0</v>
      </c>
      <c r="CK62" s="14">
        <v>0</v>
      </c>
      <c r="CL62" s="14">
        <v>0</v>
      </c>
      <c r="CM62" s="14">
        <v>0</v>
      </c>
      <c r="CN62" s="14">
        <v>0</v>
      </c>
      <c r="CO62" s="14">
        <v>0</v>
      </c>
      <c r="CP62" s="14">
        <v>0</v>
      </c>
      <c r="CQ62" s="14">
        <v>0</v>
      </c>
      <c r="CR62" s="14">
        <v>0</v>
      </c>
      <c r="CS62" s="14">
        <v>0</v>
      </c>
      <c r="CT62" s="14">
        <v>0</v>
      </c>
      <c r="CU62" s="14">
        <v>0</v>
      </c>
      <c r="CV62" s="14">
        <v>0</v>
      </c>
      <c r="CW62" s="14">
        <v>0</v>
      </c>
      <c r="CX62" s="14">
        <v>0</v>
      </c>
      <c r="CY62" s="14">
        <v>0</v>
      </c>
      <c r="CZ62" s="14">
        <v>0</v>
      </c>
      <c r="DA62" s="14">
        <v>0</v>
      </c>
      <c r="DB62" s="14">
        <v>0</v>
      </c>
      <c r="DC62" s="14">
        <v>0</v>
      </c>
      <c r="DD62" s="14">
        <v>0</v>
      </c>
      <c r="DE62" s="14">
        <v>0</v>
      </c>
      <c r="DF62" s="14">
        <v>0</v>
      </c>
      <c r="DG62" s="14">
        <v>0</v>
      </c>
      <c r="DH62" s="14">
        <v>0</v>
      </c>
      <c r="DI62" s="14">
        <v>0</v>
      </c>
      <c r="DJ62" s="14">
        <v>0</v>
      </c>
      <c r="DK62" s="14">
        <v>0</v>
      </c>
      <c r="DL62" s="14">
        <v>0</v>
      </c>
      <c r="DM62" s="14">
        <v>0</v>
      </c>
      <c r="DN62" s="14">
        <v>0</v>
      </c>
      <c r="DO62" s="14">
        <v>0</v>
      </c>
      <c r="DP62" s="14">
        <v>0</v>
      </c>
      <c r="DQ62" s="14">
        <v>0</v>
      </c>
      <c r="DR62" s="14">
        <v>0</v>
      </c>
      <c r="DS62" s="14">
        <v>0</v>
      </c>
      <c r="DT62" s="14">
        <v>0</v>
      </c>
      <c r="DU62" s="14">
        <v>0</v>
      </c>
      <c r="DV62" s="14">
        <v>0</v>
      </c>
      <c r="DW62" s="14">
        <v>0</v>
      </c>
      <c r="DX62" s="14">
        <v>0</v>
      </c>
      <c r="DY62" s="14">
        <v>0</v>
      </c>
      <c r="DZ62" s="14">
        <v>0</v>
      </c>
      <c r="EA62" s="14">
        <v>0</v>
      </c>
      <c r="EB62" s="14">
        <v>0</v>
      </c>
      <c r="EC62" s="14">
        <v>0</v>
      </c>
      <c r="ED62" s="14">
        <v>0</v>
      </c>
      <c r="EE62" s="14">
        <v>0</v>
      </c>
      <c r="EF62" s="14">
        <v>0</v>
      </c>
      <c r="EG62" s="14">
        <v>0</v>
      </c>
      <c r="EH62" s="14">
        <v>0</v>
      </c>
      <c r="EI62" s="14">
        <v>0</v>
      </c>
      <c r="EJ62" s="14">
        <v>0</v>
      </c>
      <c r="EK62" s="14">
        <v>2.6959279979770177E-3</v>
      </c>
      <c r="EL62" s="14">
        <v>2.9897841497565124E-3</v>
      </c>
      <c r="EM62" s="14">
        <v>3.3156706220799723E-3</v>
      </c>
      <c r="EN62" s="14">
        <v>3.6770787198866896E-3</v>
      </c>
      <c r="EO62" s="14">
        <v>4.0778803003543385E-3</v>
      </c>
      <c r="EP62" s="14">
        <v>4.5223692530929616E-3</v>
      </c>
      <c r="EQ62" s="14">
        <v>5.5619760193632243E-3</v>
      </c>
      <c r="ER62" s="14">
        <v>6.1682314054738157E-3</v>
      </c>
      <c r="ES62" s="14">
        <v>6.8405686286704612E-3</v>
      </c>
      <c r="ET62" s="14">
        <v>7.5861906091955417E-3</v>
      </c>
      <c r="EU62" s="14">
        <v>8.4130853855978547E-3</v>
      </c>
      <c r="EV62" s="14">
        <v>9.3301116926280212E-3</v>
      </c>
      <c r="EW62" s="14">
        <v>1.0347093867124475E-2</v>
      </c>
      <c r="EX62" s="14">
        <v>1.1474927098641041E-2</v>
      </c>
      <c r="EY62" s="14">
        <v>1.2725694152392913E-2</v>
      </c>
      <c r="EZ62" s="14">
        <v>1.411279481500374E-2</v>
      </c>
      <c r="FA62" s="14">
        <v>1.5651089449839145E-2</v>
      </c>
      <c r="FB62" s="14">
        <v>1.7357058199871614E-2</v>
      </c>
      <c r="FC62" s="14">
        <v>1.9248977543657619E-2</v>
      </c>
      <c r="FD62" s="14">
        <v>2.1347116095916299E-2</v>
      </c>
      <c r="FE62" s="14">
        <v>2.3673951750371177E-2</v>
      </c>
      <c r="FF62" s="14">
        <v>2.6254412491161637E-2</v>
      </c>
      <c r="FG62" s="14">
        <v>2.9116143452698254E-2</v>
      </c>
      <c r="FH62" s="14">
        <v>3.2289803089042363E-2</v>
      </c>
      <c r="FI62" s="14">
        <v>2.8458790000000001E-2</v>
      </c>
      <c r="FJ62" s="14">
        <v>2.9806529999999998E-2</v>
      </c>
      <c r="FK62" s="14">
        <v>5.6615470000000001E-2</v>
      </c>
      <c r="FL62" s="14">
        <v>0.19355355999999999</v>
      </c>
      <c r="FM62" s="14">
        <v>0.33049306000000001</v>
      </c>
      <c r="FN62" s="14">
        <v>1.48524E-2</v>
      </c>
      <c r="FO62" s="14">
        <v>1.542108E-2</v>
      </c>
      <c r="FP62" s="14">
        <v>1.8081509999999999E-2</v>
      </c>
      <c r="FQ62" s="14">
        <v>2.0741229999999999E-2</v>
      </c>
      <c r="FR62" s="14">
        <v>1.55833E-2</v>
      </c>
      <c r="FS62" s="14">
        <v>2.2238839999999999E-2</v>
      </c>
      <c r="FT62" s="14">
        <v>3.3009120000000003E-2</v>
      </c>
      <c r="FU62" s="14">
        <v>1.6868250000000001E-2</v>
      </c>
      <c r="FV62" s="14">
        <v>2.2505479999999998E-2</v>
      </c>
      <c r="FW62" s="14">
        <v>2.814272E-2</v>
      </c>
      <c r="FX62" s="14">
        <v>9.5152710000000001E-2</v>
      </c>
      <c r="FY62" s="14">
        <v>0.16216145999999998</v>
      </c>
      <c r="FZ62" s="14">
        <v>7.2658960000000009E-2</v>
      </c>
      <c r="GA62" s="14">
        <v>8.2313289999999997E-2</v>
      </c>
      <c r="GB62" s="14">
        <v>6.6486759999999992E-2</v>
      </c>
      <c r="GC62" s="14">
        <v>5.0659059999999999E-2</v>
      </c>
      <c r="GD62" s="14">
        <v>3.7624499999999998E-2</v>
      </c>
      <c r="GE62" s="14">
        <v>2.4588970000000002E-2</v>
      </c>
      <c r="GF62" s="14">
        <v>3.4432690000000002E-2</v>
      </c>
      <c r="GG62" s="14">
        <v>1.1122694800000001E-2</v>
      </c>
      <c r="GH62" s="14">
        <v>2.0773818240000002E-2</v>
      </c>
      <c r="GI62" s="14">
        <v>1.8354537320000003E-2</v>
      </c>
      <c r="GJ62" s="14">
        <v>1.1162231080000001E-2</v>
      </c>
      <c r="GK62" s="14">
        <v>1.264258828E-2</v>
      </c>
      <c r="GL62" s="14">
        <v>4.3562955520000002E-2</v>
      </c>
      <c r="GM62" s="14">
        <v>1.1403029460760002E-2</v>
      </c>
      <c r="GN62" s="14">
        <v>2.9969484051079999E-2</v>
      </c>
      <c r="GO62" s="14">
        <v>2.8529601941119996E-2</v>
      </c>
      <c r="GP62" s="14">
        <v>3.8237965404799998E-2</v>
      </c>
      <c r="GQ62" s="14">
        <v>0.12755378510699997</v>
      </c>
      <c r="GR62" s="14">
        <v>0.12195518866859996</v>
      </c>
      <c r="GS62" s="14">
        <v>4.1923646035039987E-2</v>
      </c>
      <c r="GT62" s="14">
        <v>5.8562233206540013E-2</v>
      </c>
      <c r="GU62" s="14">
        <v>7.6451150882960034E-2</v>
      </c>
      <c r="GV62" s="14">
        <v>0.1297743867368199</v>
      </c>
      <c r="GW62" s="14">
        <v>0.24217565361318011</v>
      </c>
      <c r="GX62" s="14">
        <v>0.17541780042038005</v>
      </c>
      <c r="GY62" s="14">
        <v>0.16446439809729996</v>
      </c>
      <c r="GZ62" s="14">
        <v>0.51715368376448001</v>
      </c>
      <c r="HA62" s="14">
        <v>0.58859496526670041</v>
      </c>
      <c r="HB62" s="14">
        <v>0.42847909867546025</v>
      </c>
      <c r="HC62" s="14">
        <v>0.59264955126075991</v>
      </c>
      <c r="HD62" s="14">
        <v>0.37932878771899997</v>
      </c>
      <c r="HE62" s="14">
        <v>0.36864544230000001</v>
      </c>
      <c r="HF62" s="14">
        <v>0.76025815228000015</v>
      </c>
      <c r="HG62" s="14">
        <v>0.48368266249999992</v>
      </c>
      <c r="HH62" s="14">
        <v>0.77823671020000018</v>
      </c>
      <c r="HI62" s="14">
        <v>0.94677313656000006</v>
      </c>
      <c r="HJ62" s="14">
        <v>0.48519290430000001</v>
      </c>
      <c r="HK62" s="14">
        <v>0.52991827584000006</v>
      </c>
      <c r="HL62" s="14">
        <v>0.69011627154999999</v>
      </c>
      <c r="HM62" s="14">
        <v>0.64809473981999999</v>
      </c>
      <c r="HN62" s="14">
        <v>0.48019926741000002</v>
      </c>
      <c r="HO62" s="14">
        <v>0.51287965580000006</v>
      </c>
      <c r="HP62" s="14">
        <v>0.97555257921999994</v>
      </c>
      <c r="HQ62" s="14">
        <v>0.34918090000000002</v>
      </c>
      <c r="HR62" s="14">
        <v>0.55987092000000005</v>
      </c>
      <c r="HS62" s="14">
        <v>0.45017676000000001</v>
      </c>
      <c r="HT62" s="14">
        <v>0.34048259999999997</v>
      </c>
      <c r="HU62" s="14">
        <v>0.18993257999999999</v>
      </c>
      <c r="HV62" s="14">
        <v>0.17320168</v>
      </c>
      <c r="HW62" s="14">
        <v>0.14250638000000002</v>
      </c>
      <c r="HX62" s="14">
        <v>0.45838708</v>
      </c>
      <c r="HY62" s="14">
        <v>0.2231418</v>
      </c>
      <c r="HZ62" s="14">
        <v>0.18694470000000002</v>
      </c>
      <c r="IA62" s="14">
        <v>0.19883054999999999</v>
      </c>
      <c r="IB62" s="14">
        <v>0.15023096</v>
      </c>
      <c r="IC62" s="14">
        <v>0.33049130999999932</v>
      </c>
      <c r="ID62" s="14">
        <v>0.42435777000000013</v>
      </c>
      <c r="IE62" s="14">
        <v>0.53187165000000014</v>
      </c>
      <c r="IF62" s="14">
        <v>0.35254572000000001</v>
      </c>
      <c r="IG62" s="14">
        <v>0.13069072999999995</v>
      </c>
      <c r="IH62" s="14">
        <v>0.13293900000000006</v>
      </c>
      <c r="II62" s="14">
        <v>0.15632183999999991</v>
      </c>
      <c r="IJ62" s="14">
        <v>0.4020265999999999</v>
      </c>
      <c r="IK62" s="14">
        <v>0.1654533</v>
      </c>
      <c r="IL62" s="14">
        <v>0.1576058600000001</v>
      </c>
      <c r="IM62" s="14">
        <v>0.14777850000000012</v>
      </c>
      <c r="IN62" s="14">
        <v>0.16491814000000002</v>
      </c>
      <c r="IO62" s="14">
        <v>0.3281260099999998</v>
      </c>
      <c r="IP62" s="14">
        <v>0.37352927999999941</v>
      </c>
      <c r="IQ62" s="14">
        <v>0.30040487999999976</v>
      </c>
      <c r="IR62" s="14">
        <v>0.34720636999999999</v>
      </c>
      <c r="IS62" s="14">
        <v>0.42179871000000002</v>
      </c>
      <c r="IT62" s="14">
        <v>0.20967090000000016</v>
      </c>
      <c r="IU62" s="14">
        <v>0.2338692700000001</v>
      </c>
      <c r="IV62" s="14">
        <v>0.2053151699999998</v>
      </c>
      <c r="IW62" s="14">
        <v>0.14788169999999992</v>
      </c>
      <c r="IX62" s="14">
        <v>0.19316968000000012</v>
      </c>
      <c r="IY62" s="14">
        <v>0.26309273999999999</v>
      </c>
      <c r="IZ62" s="14">
        <v>0.60533457999999951</v>
      </c>
      <c r="JA62" s="14">
        <v>0.47199794000000006</v>
      </c>
      <c r="JB62" s="14">
        <v>0.28554702000000004</v>
      </c>
      <c r="JC62" s="14">
        <v>0.32376155999999995</v>
      </c>
      <c r="JD62" s="14">
        <v>0.36056339999999976</v>
      </c>
      <c r="JE62" s="14">
        <v>0.3076728299999999</v>
      </c>
      <c r="JF62" s="14">
        <v>0.15117629999999999</v>
      </c>
      <c r="JG62" s="14">
        <v>0.10478739657999998</v>
      </c>
      <c r="JH62" s="14">
        <v>5.8398493159999988E-2</v>
      </c>
      <c r="JI62" s="14">
        <v>2.8691730299999978E-2</v>
      </c>
      <c r="JJ62" s="14">
        <v>6.0372499999999989E-2</v>
      </c>
      <c r="JK62" s="14">
        <v>8.2240560299999987E-2</v>
      </c>
      <c r="JL62" s="14">
        <v>0.22660069999999999</v>
      </c>
      <c r="JM62" s="14">
        <v>0.16538022279999995</v>
      </c>
      <c r="JN62" s="14">
        <v>0.10415699616000001</v>
      </c>
      <c r="JO62" s="14">
        <v>0.19507161214999999</v>
      </c>
      <c r="JP62" s="14">
        <v>0.21462657359999998</v>
      </c>
      <c r="JQ62" s="14">
        <v>0.43955654385000004</v>
      </c>
      <c r="JR62" s="14">
        <v>0.30307023779999992</v>
      </c>
      <c r="JS62" s="14">
        <v>0.2686922354700001</v>
      </c>
      <c r="JT62" s="14">
        <v>0.33024862922999998</v>
      </c>
      <c r="JU62" s="14">
        <v>0.41829077850000002</v>
      </c>
      <c r="JV62" s="14">
        <v>0.67056882781000016</v>
      </c>
      <c r="JW62" s="14">
        <v>0.34957750860000014</v>
      </c>
      <c r="JX62" s="14">
        <v>0.31812694481000009</v>
      </c>
      <c r="JY62" s="14">
        <v>0.16538342742000001</v>
      </c>
      <c r="JZ62" s="14">
        <v>0.22946156967999998</v>
      </c>
      <c r="KA62" s="14">
        <v>0.21910863487999996</v>
      </c>
      <c r="KB62" s="14">
        <v>0.43526526329999998</v>
      </c>
      <c r="KC62" s="14">
        <v>0.43850741147000005</v>
      </c>
      <c r="KD62" s="14">
        <v>0.80058055796999994</v>
      </c>
      <c r="KE62" s="14">
        <v>0.19368619238999996</v>
      </c>
      <c r="KF62" s="14">
        <v>0.26471732133000003</v>
      </c>
      <c r="KG62" s="14">
        <v>0.20685095879999996</v>
      </c>
      <c r="KH62" s="14">
        <v>0.16057162225000002</v>
      </c>
      <c r="KI62" s="14">
        <v>5.3814025499999994E-2</v>
      </c>
      <c r="KJ62" s="14">
        <v>9.8675845490000039E-2</v>
      </c>
      <c r="KK62" s="14">
        <v>6.610360329999998E-2</v>
      </c>
      <c r="KL62" s="14">
        <v>9.1305681329999985E-2</v>
      </c>
      <c r="KM62" s="14">
        <v>8.5880556866016963E-2</v>
      </c>
      <c r="KN62" s="14">
        <v>0.15274266960179519</v>
      </c>
      <c r="KO62" s="14">
        <v>0.12601793786999996</v>
      </c>
      <c r="KP62" s="14">
        <v>8.3581011600000005E-2</v>
      </c>
      <c r="KQ62" s="14">
        <v>6.7630600039999988E-2</v>
      </c>
      <c r="KR62" s="14">
        <v>0.40078933682999995</v>
      </c>
      <c r="KS62" s="14">
        <v>0.40747796639999989</v>
      </c>
      <c r="KT62" s="14">
        <v>8.8178170100000008E-2</v>
      </c>
      <c r="KU62" s="14">
        <v>0.27824144669999995</v>
      </c>
      <c r="KV62" s="14">
        <v>0.15330764675999994</v>
      </c>
      <c r="KW62" s="14">
        <v>0.19879099866000008</v>
      </c>
      <c r="KX62" s="14">
        <v>0.41013159319999998</v>
      </c>
      <c r="KY62" s="14">
        <v>0.25512312535999998</v>
      </c>
      <c r="KZ62" s="14">
        <v>0.64793447280000027</v>
      </c>
      <c r="LA62" s="14">
        <v>4.0403033689999979E-2</v>
      </c>
      <c r="LB62" s="14">
        <v>2.839116479999999E-2</v>
      </c>
      <c r="LC62" s="14">
        <v>1.14530399E-2</v>
      </c>
      <c r="LD62" s="14">
        <v>7.2407829999999989E-3</v>
      </c>
      <c r="LE62" s="14">
        <v>3.0285260999999997E-3</v>
      </c>
      <c r="LF62" s="14">
        <v>1.83090774E-3</v>
      </c>
      <c r="LG62" s="14">
        <v>3.3400638000000002E-3</v>
      </c>
      <c r="LH62" s="14">
        <v>8.9397589200000006E-3</v>
      </c>
      <c r="LI62" s="14">
        <v>4.7035768200000003E-3</v>
      </c>
      <c r="LJ62" s="14">
        <v>5.6611331800000006E-3</v>
      </c>
      <c r="LK62" s="14">
        <v>6.434822973333333E-3</v>
      </c>
      <c r="LL62" s="14">
        <v>0.18665368552999997</v>
      </c>
      <c r="LM62" s="14">
        <v>1.8465865479999996E-2</v>
      </c>
      <c r="LN62" s="14">
        <v>0.11244661679999998</v>
      </c>
      <c r="LO62" s="14">
        <v>0.31108818276999994</v>
      </c>
      <c r="LP62" s="14">
        <v>0.92146879999999987</v>
      </c>
      <c r="LQ62" s="14">
        <v>0.56711062560000036</v>
      </c>
      <c r="LR62" s="14">
        <v>0.59988920279000002</v>
      </c>
      <c r="LS62" s="14">
        <v>0.69615620946333334</v>
      </c>
      <c r="LT62" s="14">
        <v>0.62105201261777787</v>
      </c>
      <c r="LU62" s="149"/>
    </row>
    <row r="63" spans="1:333" x14ac:dyDescent="0.3">
      <c r="A63" s="19" t="s">
        <v>46</v>
      </c>
      <c r="B63" s="19"/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4">
        <v>0</v>
      </c>
      <c r="T63" s="14">
        <v>0</v>
      </c>
      <c r="U63" s="14">
        <v>0</v>
      </c>
      <c r="V63" s="14">
        <v>0</v>
      </c>
      <c r="W63" s="14">
        <v>0</v>
      </c>
      <c r="X63" s="14">
        <v>0</v>
      </c>
      <c r="Y63" s="14">
        <v>0</v>
      </c>
      <c r="Z63" s="14">
        <v>0</v>
      </c>
      <c r="AA63" s="14">
        <v>0</v>
      </c>
      <c r="AB63" s="14">
        <v>0</v>
      </c>
      <c r="AC63" s="14">
        <v>0</v>
      </c>
      <c r="AD63" s="14">
        <v>0</v>
      </c>
      <c r="AE63" s="14">
        <v>0</v>
      </c>
      <c r="AF63" s="14">
        <v>0</v>
      </c>
      <c r="AG63" s="14">
        <v>0</v>
      </c>
      <c r="AH63" s="14">
        <v>0</v>
      </c>
      <c r="AI63" s="14">
        <v>0</v>
      </c>
      <c r="AJ63" s="14">
        <v>0</v>
      </c>
      <c r="AK63" s="14">
        <v>0</v>
      </c>
      <c r="AL63" s="14">
        <v>0</v>
      </c>
      <c r="AM63" s="14">
        <v>0</v>
      </c>
      <c r="AN63" s="14">
        <v>0</v>
      </c>
      <c r="AO63" s="14">
        <v>0</v>
      </c>
      <c r="AP63" s="14">
        <v>0</v>
      </c>
      <c r="AQ63" s="14">
        <v>0</v>
      </c>
      <c r="AR63" s="14">
        <v>0</v>
      </c>
      <c r="AS63" s="14">
        <v>0</v>
      </c>
      <c r="AT63" s="14">
        <v>0</v>
      </c>
      <c r="AU63" s="14">
        <v>0</v>
      </c>
      <c r="AV63" s="14">
        <v>0</v>
      </c>
      <c r="AW63" s="14">
        <v>0</v>
      </c>
      <c r="AX63" s="14">
        <v>0</v>
      </c>
      <c r="AY63" s="14">
        <v>0</v>
      </c>
      <c r="AZ63" s="14">
        <v>0</v>
      </c>
      <c r="BA63" s="14">
        <v>0</v>
      </c>
      <c r="BB63" s="14">
        <v>0</v>
      </c>
      <c r="BC63" s="14">
        <v>0</v>
      </c>
      <c r="BD63" s="14">
        <v>0</v>
      </c>
      <c r="BE63" s="14">
        <v>0</v>
      </c>
      <c r="BF63" s="14">
        <v>0</v>
      </c>
      <c r="BG63" s="14">
        <v>0</v>
      </c>
      <c r="BH63" s="14">
        <v>0</v>
      </c>
      <c r="BI63" s="14">
        <v>0</v>
      </c>
      <c r="BJ63" s="14">
        <v>0</v>
      </c>
      <c r="BK63" s="14">
        <v>0</v>
      </c>
      <c r="BL63" s="14">
        <v>0</v>
      </c>
      <c r="BM63" s="14">
        <v>0</v>
      </c>
      <c r="BN63" s="14">
        <v>0</v>
      </c>
      <c r="BO63" s="14">
        <v>0</v>
      </c>
      <c r="BP63" s="14">
        <v>0</v>
      </c>
      <c r="BQ63" s="14">
        <v>0</v>
      </c>
      <c r="BR63" s="14">
        <v>0</v>
      </c>
      <c r="BS63" s="14">
        <v>0</v>
      </c>
      <c r="BT63" s="14">
        <v>0</v>
      </c>
      <c r="BU63" s="14">
        <v>0</v>
      </c>
      <c r="BV63" s="14">
        <v>0</v>
      </c>
      <c r="BW63" s="14">
        <v>0</v>
      </c>
      <c r="BX63" s="14">
        <v>0</v>
      </c>
      <c r="BY63" s="14">
        <v>0</v>
      </c>
      <c r="BZ63" s="14">
        <v>0</v>
      </c>
      <c r="CA63" s="14">
        <v>0</v>
      </c>
      <c r="CB63" s="14">
        <v>0</v>
      </c>
      <c r="CC63" s="14">
        <v>0</v>
      </c>
      <c r="CD63" s="14">
        <v>0</v>
      </c>
      <c r="CE63" s="14">
        <v>0</v>
      </c>
      <c r="CF63" s="14">
        <v>0</v>
      </c>
      <c r="CG63" s="14">
        <v>0</v>
      </c>
      <c r="CH63" s="14">
        <v>0</v>
      </c>
      <c r="CI63" s="14">
        <v>0</v>
      </c>
      <c r="CJ63" s="14">
        <v>0</v>
      </c>
      <c r="CK63" s="14">
        <v>0</v>
      </c>
      <c r="CL63" s="14">
        <v>0</v>
      </c>
      <c r="CM63" s="14">
        <v>0</v>
      </c>
      <c r="CN63" s="14">
        <v>0</v>
      </c>
      <c r="CO63" s="14">
        <v>0</v>
      </c>
      <c r="CP63" s="14">
        <v>0</v>
      </c>
      <c r="CQ63" s="14">
        <v>0</v>
      </c>
      <c r="CR63" s="14">
        <v>0</v>
      </c>
      <c r="CS63" s="14">
        <v>0</v>
      </c>
      <c r="CT63" s="14">
        <v>0</v>
      </c>
      <c r="CU63" s="14">
        <v>0</v>
      </c>
      <c r="CV63" s="14">
        <v>0</v>
      </c>
      <c r="CW63" s="14">
        <v>0</v>
      </c>
      <c r="CX63" s="14">
        <v>0</v>
      </c>
      <c r="CY63" s="14">
        <v>0</v>
      </c>
      <c r="CZ63" s="14">
        <v>0</v>
      </c>
      <c r="DA63" s="14">
        <v>0</v>
      </c>
      <c r="DB63" s="14">
        <v>0</v>
      </c>
      <c r="DC63" s="14">
        <v>0</v>
      </c>
      <c r="DD63" s="14">
        <v>0</v>
      </c>
      <c r="DE63" s="14">
        <v>0</v>
      </c>
      <c r="DF63" s="14">
        <v>0</v>
      </c>
      <c r="DG63" s="14">
        <v>0</v>
      </c>
      <c r="DH63" s="14">
        <v>0</v>
      </c>
      <c r="DI63" s="14">
        <v>0</v>
      </c>
      <c r="DJ63" s="14">
        <v>0</v>
      </c>
      <c r="DK63" s="14">
        <v>0</v>
      </c>
      <c r="DL63" s="14">
        <v>0</v>
      </c>
      <c r="DM63" s="14">
        <v>0</v>
      </c>
      <c r="DN63" s="14">
        <v>0</v>
      </c>
      <c r="DO63" s="14">
        <v>0</v>
      </c>
      <c r="DP63" s="14">
        <v>0</v>
      </c>
      <c r="DQ63" s="14">
        <v>0</v>
      </c>
      <c r="DR63" s="14">
        <v>0</v>
      </c>
      <c r="DS63" s="14">
        <v>0</v>
      </c>
      <c r="DT63" s="14">
        <v>0</v>
      </c>
      <c r="DU63" s="14">
        <v>0</v>
      </c>
      <c r="DV63" s="14">
        <v>0</v>
      </c>
      <c r="DW63" s="14">
        <v>0</v>
      </c>
      <c r="DX63" s="14">
        <v>0</v>
      </c>
      <c r="DY63" s="14">
        <v>0</v>
      </c>
      <c r="DZ63" s="14">
        <v>0</v>
      </c>
      <c r="EA63" s="14">
        <v>0</v>
      </c>
      <c r="EB63" s="14">
        <v>0</v>
      </c>
      <c r="EC63" s="14">
        <v>0</v>
      </c>
      <c r="ED63" s="14">
        <v>0</v>
      </c>
      <c r="EE63" s="14">
        <v>0</v>
      </c>
      <c r="EF63" s="14">
        <v>0</v>
      </c>
      <c r="EG63" s="14">
        <v>0</v>
      </c>
      <c r="EH63" s="14">
        <v>0</v>
      </c>
      <c r="EI63" s="14">
        <v>0</v>
      </c>
      <c r="EJ63" s="14">
        <v>0</v>
      </c>
      <c r="EK63" s="14">
        <v>2.2505792419550939E-2</v>
      </c>
      <c r="EL63" s="14">
        <v>2.4958923793281997E-2</v>
      </c>
      <c r="EM63" s="14">
        <v>2.7679446486749731E-2</v>
      </c>
      <c r="EN63" s="14">
        <v>3.0696506153805449E-2</v>
      </c>
      <c r="EO63" s="14">
        <v>3.4042425324570247E-2</v>
      </c>
      <c r="EP63" s="14">
        <v>3.77530496849484E-2</v>
      </c>
      <c r="EQ63" s="14">
        <v>4.6431758499574025E-2</v>
      </c>
      <c r="ER63" s="14">
        <v>5.149282017602759E-2</v>
      </c>
      <c r="ES63" s="14">
        <v>5.7105537575214596E-2</v>
      </c>
      <c r="ET63" s="14">
        <v>6.3330041170912982E-2</v>
      </c>
      <c r="EU63" s="14">
        <v>7.0233015658542494E-2</v>
      </c>
      <c r="EV63" s="14">
        <v>7.7888414365323622E-2</v>
      </c>
      <c r="EW63" s="14">
        <v>8.6378251531143896E-2</v>
      </c>
      <c r="EX63" s="14">
        <v>9.5793480948038565E-2</v>
      </c>
      <c r="EY63" s="14">
        <v>0.10623497037137476</v>
      </c>
      <c r="EZ63" s="14">
        <v>0.11781458214185461</v>
      </c>
      <c r="FA63" s="14">
        <v>0.13065637159531676</v>
      </c>
      <c r="FB63" s="14">
        <v>0.1448979160992063</v>
      </c>
      <c r="FC63" s="14">
        <v>0.16069178895401975</v>
      </c>
      <c r="FD63" s="14">
        <v>0.17820719395000792</v>
      </c>
      <c r="FE63" s="14">
        <v>0.19763177809055879</v>
      </c>
      <c r="FF63" s="14">
        <v>0.21917364190242969</v>
      </c>
      <c r="FG63" s="14">
        <v>0.24306356886979452</v>
      </c>
      <c r="FH63" s="14">
        <v>0.2695574978766021</v>
      </c>
      <c r="FI63" s="14">
        <v>0.48807419000000002</v>
      </c>
      <c r="FJ63" s="14">
        <v>0.51118709000000007</v>
      </c>
      <c r="FK63" s="14">
        <v>1.13036303</v>
      </c>
      <c r="FL63" s="14">
        <v>1.20062033</v>
      </c>
      <c r="FM63" s="14">
        <v>1.2708716200000001</v>
      </c>
      <c r="FN63" s="14">
        <v>0.13626945000000001</v>
      </c>
      <c r="FO63" s="14">
        <v>0.14148706</v>
      </c>
      <c r="FP63" s="14">
        <v>0.18510126000000002</v>
      </c>
      <c r="FQ63" s="14">
        <v>0.22871431</v>
      </c>
      <c r="FR63" s="14">
        <v>0.34586291999999996</v>
      </c>
      <c r="FS63" s="14">
        <v>0.15506237</v>
      </c>
      <c r="FT63" s="14">
        <v>0.27912096999999997</v>
      </c>
      <c r="FU63" s="14">
        <v>0.32064690000000001</v>
      </c>
      <c r="FV63" s="14">
        <v>0.42780369000000001</v>
      </c>
      <c r="FW63" s="14">
        <v>0.53496044999999992</v>
      </c>
      <c r="FX63" s="14">
        <v>0.59682795999999994</v>
      </c>
      <c r="FY63" s="14">
        <v>0.65869290000000003</v>
      </c>
      <c r="FZ63" s="14">
        <v>0.29915091999999999</v>
      </c>
      <c r="GA63" s="14">
        <v>0.33889944</v>
      </c>
      <c r="GB63" s="14">
        <v>0.35491507</v>
      </c>
      <c r="GC63" s="14">
        <v>0.37092746999999998</v>
      </c>
      <c r="GD63" s="14">
        <v>0.31032483</v>
      </c>
      <c r="GE63" s="14">
        <v>0.24971914000000001</v>
      </c>
      <c r="GF63" s="14">
        <v>0.34968996999999996</v>
      </c>
      <c r="GG63" s="14">
        <v>1.3366868001200005</v>
      </c>
      <c r="GH63" s="14">
        <v>0.55307973616000006</v>
      </c>
      <c r="GI63" s="14">
        <v>0.48868686944000006</v>
      </c>
      <c r="GJ63" s="14">
        <v>0.27767490603999995</v>
      </c>
      <c r="GK63" s="14">
        <v>0.31450090056000007</v>
      </c>
      <c r="GL63" s="14">
        <v>0.29631856408000001</v>
      </c>
      <c r="GM63" s="14">
        <v>0.31587710449316003</v>
      </c>
      <c r="GN63" s="14">
        <v>0.66610079225676022</v>
      </c>
      <c r="GO63" s="14">
        <v>0.54778716756455981</v>
      </c>
      <c r="GP63" s="14">
        <v>0.59955153664868011</v>
      </c>
      <c r="GQ63" s="14">
        <v>0.92794976402267904</v>
      </c>
      <c r="GR63" s="14">
        <v>0.84026849537539983</v>
      </c>
      <c r="GS63" s="14">
        <v>0.66274899604578064</v>
      </c>
      <c r="GT63" s="14">
        <v>0.59522930439364052</v>
      </c>
      <c r="GU63" s="14">
        <v>0.66090379839078039</v>
      </c>
      <c r="GV63" s="14">
        <v>0.66077515038920087</v>
      </c>
      <c r="GW63" s="14">
        <v>0.72244674993973979</v>
      </c>
      <c r="GX63" s="14">
        <v>1.3539253401609601</v>
      </c>
      <c r="GY63" s="14">
        <v>0.48261514439389974</v>
      </c>
      <c r="GZ63" s="14">
        <v>0.59361322086023993</v>
      </c>
      <c r="HA63" s="14">
        <v>0.41744749620083982</v>
      </c>
      <c r="HB63" s="14">
        <v>0.59916016466250088</v>
      </c>
      <c r="HC63" s="14">
        <v>0.54366519889919984</v>
      </c>
      <c r="HD63" s="14">
        <v>0.26097467313848011</v>
      </c>
      <c r="HE63" s="14">
        <v>0.56200449808999997</v>
      </c>
      <c r="HF63" s="14">
        <v>0.68167678152999989</v>
      </c>
      <c r="HG63" s="14">
        <v>0.88931456526000008</v>
      </c>
      <c r="HH63" s="14">
        <v>0.86319166871999997</v>
      </c>
      <c r="HI63" s="14">
        <v>0.6533830652899999</v>
      </c>
      <c r="HJ63" s="14">
        <v>0.52220304207000001</v>
      </c>
      <c r="HK63" s="14">
        <v>0.69566462923999994</v>
      </c>
      <c r="HL63" s="14">
        <v>0.54414897686999997</v>
      </c>
      <c r="HM63" s="14">
        <v>0.49302405413999995</v>
      </c>
      <c r="HN63" s="14">
        <v>0.59191563078999998</v>
      </c>
      <c r="HO63" s="14">
        <v>0.78603008685999998</v>
      </c>
      <c r="HP63" s="14">
        <v>0.95754719144999989</v>
      </c>
      <c r="HQ63" s="14">
        <v>0.60796896999999994</v>
      </c>
      <c r="HR63" s="14">
        <v>0.97450983999999996</v>
      </c>
      <c r="HS63" s="14">
        <v>1.5344096</v>
      </c>
      <c r="HT63" s="14">
        <v>2.0943088300000001</v>
      </c>
      <c r="HU63" s="14">
        <v>0.66168508999999998</v>
      </c>
      <c r="HV63" s="14">
        <v>0.56539407999999991</v>
      </c>
      <c r="HW63" s="14">
        <v>0.62477303000000006</v>
      </c>
      <c r="HX63" s="14">
        <v>0.90556161000000002</v>
      </c>
      <c r="HY63" s="14">
        <v>1.37274034</v>
      </c>
      <c r="HZ63" s="14">
        <v>1.10563766</v>
      </c>
      <c r="IA63" s="14">
        <v>0.93271507999999992</v>
      </c>
      <c r="IB63" s="14">
        <v>1.0119902000000001</v>
      </c>
      <c r="IC63" s="14">
        <v>0.9092150400000002</v>
      </c>
      <c r="ID63" s="14">
        <v>0.73381521000000094</v>
      </c>
      <c r="IE63" s="14">
        <v>0.57709910000000053</v>
      </c>
      <c r="IF63" s="14">
        <v>0.38887754000000008</v>
      </c>
      <c r="IG63" s="14">
        <v>0.59355186000000015</v>
      </c>
      <c r="IH63" s="14">
        <v>0.50056328000000005</v>
      </c>
      <c r="II63" s="14">
        <v>0.62674221000000008</v>
      </c>
      <c r="IJ63" s="14">
        <v>0.48798336000000009</v>
      </c>
      <c r="IK63" s="14">
        <v>0.50953091999999978</v>
      </c>
      <c r="IL63" s="14">
        <v>0.68880876999999885</v>
      </c>
      <c r="IM63" s="14">
        <v>0.91569559000000011</v>
      </c>
      <c r="IN63" s="14">
        <v>0.51528456</v>
      </c>
      <c r="IO63" s="14">
        <v>0.36154138999999985</v>
      </c>
      <c r="IP63" s="14">
        <v>0.59386887999999916</v>
      </c>
      <c r="IQ63" s="14">
        <v>0.90703090000000075</v>
      </c>
      <c r="IR63" s="14">
        <v>0.78867395999999979</v>
      </c>
      <c r="IS63" s="14">
        <v>0.73344388999999965</v>
      </c>
      <c r="IT63" s="14">
        <v>0.82898211999999971</v>
      </c>
      <c r="IU63" s="14">
        <v>0.57627747000000018</v>
      </c>
      <c r="IV63" s="14">
        <v>0.81479946000000048</v>
      </c>
      <c r="IW63" s="14">
        <v>0.72309738000000046</v>
      </c>
      <c r="IX63" s="14">
        <v>0.67276984000000017</v>
      </c>
      <c r="IY63" s="14">
        <v>0.6035787499999995</v>
      </c>
      <c r="IZ63" s="14">
        <v>0.9156150500000001</v>
      </c>
      <c r="JA63" s="14">
        <v>1.05647237</v>
      </c>
      <c r="JB63" s="14">
        <v>0.64265934999999996</v>
      </c>
      <c r="JC63" s="14">
        <v>0.7403646199999997</v>
      </c>
      <c r="JD63" s="14">
        <v>0.71360661000000036</v>
      </c>
      <c r="JE63" s="14">
        <v>0.59102132999999979</v>
      </c>
      <c r="JF63" s="14">
        <v>0.48511123000000012</v>
      </c>
      <c r="JG63" s="14">
        <v>0.35227452794000008</v>
      </c>
      <c r="JH63" s="14">
        <v>0.21943782588000005</v>
      </c>
      <c r="JI63" s="14">
        <v>0.25283222828000024</v>
      </c>
      <c r="JJ63" s="14">
        <v>0.46570410000000029</v>
      </c>
      <c r="JK63" s="14">
        <v>0.25554402297000001</v>
      </c>
      <c r="JL63" s="14">
        <v>0.32075615000000007</v>
      </c>
      <c r="JM63" s="14">
        <v>0.31894111037000006</v>
      </c>
      <c r="JN63" s="14">
        <v>0.3167550335199999</v>
      </c>
      <c r="JO63" s="14">
        <v>0.33679979605000004</v>
      </c>
      <c r="JP63" s="14">
        <v>0.5893052327499998</v>
      </c>
      <c r="JQ63" s="14">
        <v>0.43711861108000016</v>
      </c>
      <c r="JR63" s="14">
        <v>0.49579798678999992</v>
      </c>
      <c r="JS63" s="14">
        <v>0.55656548441000031</v>
      </c>
      <c r="JT63" s="14">
        <v>0.49062461732999996</v>
      </c>
      <c r="JU63" s="14">
        <v>0.49091980186999995</v>
      </c>
      <c r="JV63" s="14">
        <v>0.43886759449000007</v>
      </c>
      <c r="JW63" s="14">
        <v>0.45327841428000004</v>
      </c>
      <c r="JX63" s="14">
        <v>0.5802662916100001</v>
      </c>
      <c r="JY63" s="14">
        <v>0.30401775127999997</v>
      </c>
      <c r="JZ63" s="14">
        <v>0.30675109380000015</v>
      </c>
      <c r="KA63" s="14">
        <v>0.43238501798999984</v>
      </c>
      <c r="KB63" s="14">
        <v>0.35866689709000005</v>
      </c>
      <c r="KC63" s="14">
        <v>0.46385288891000004</v>
      </c>
      <c r="KD63" s="14">
        <v>0.32001498664999994</v>
      </c>
      <c r="KE63" s="14">
        <v>0.21519654905000002</v>
      </c>
      <c r="KF63" s="14">
        <v>0.38336562721000011</v>
      </c>
      <c r="KG63" s="14">
        <v>0.3228138966600001</v>
      </c>
      <c r="KH63" s="14">
        <v>0.41754098641000009</v>
      </c>
      <c r="KI63" s="14">
        <v>0.31267470881000009</v>
      </c>
      <c r="KJ63" s="14">
        <v>0.30364670882000006</v>
      </c>
      <c r="KK63" s="14">
        <v>0.20068223676999994</v>
      </c>
      <c r="KL63" s="14">
        <v>0.17477032845999999</v>
      </c>
      <c r="KM63" s="14">
        <v>0.16782972124088927</v>
      </c>
      <c r="KN63" s="14">
        <v>0.16331035163994695</v>
      </c>
      <c r="KO63" s="14">
        <v>0.14328235541999998</v>
      </c>
      <c r="KP63" s="14">
        <v>0.25982468159</v>
      </c>
      <c r="KQ63" s="14">
        <v>0.17976215163000001</v>
      </c>
      <c r="KR63" s="14">
        <v>0.41792750037999998</v>
      </c>
      <c r="KS63" s="14">
        <v>0.3954654928400001</v>
      </c>
      <c r="KT63" s="14">
        <v>0.53494035912999971</v>
      </c>
      <c r="KU63" s="14">
        <v>0.49684966476000009</v>
      </c>
      <c r="KV63" s="14">
        <v>0.55341594583999998</v>
      </c>
      <c r="KW63" s="14">
        <v>0.55741967326000041</v>
      </c>
      <c r="KX63" s="14">
        <v>0.57058830488000012</v>
      </c>
      <c r="KY63" s="14">
        <v>0.49309991033000011</v>
      </c>
      <c r="KZ63" s="14">
        <v>0.71778262944999993</v>
      </c>
      <c r="LA63" s="14">
        <v>0.47991278042999996</v>
      </c>
      <c r="LB63" s="14">
        <v>0.41352104223000002</v>
      </c>
      <c r="LC63" s="14">
        <v>0.42853513654000008</v>
      </c>
      <c r="LD63" s="14">
        <v>0.78598326698000009</v>
      </c>
      <c r="LE63" s="14">
        <v>1.1434313974200001</v>
      </c>
      <c r="LF63" s="14">
        <v>0.59380117596999993</v>
      </c>
      <c r="LG63" s="14">
        <v>0.86025099053000009</v>
      </c>
      <c r="LH63" s="14">
        <v>1.1399543072699998</v>
      </c>
      <c r="LI63" s="14">
        <v>0.86466882458999994</v>
      </c>
      <c r="LJ63" s="14">
        <v>0.95495804079666657</v>
      </c>
      <c r="LK63" s="14">
        <v>0.98652705755222203</v>
      </c>
      <c r="LL63" s="14">
        <v>1.2871862539699996</v>
      </c>
      <c r="LM63" s="14">
        <v>0.77810043623999992</v>
      </c>
      <c r="LN63" s="14">
        <v>0.53283376375999969</v>
      </c>
      <c r="LO63" s="14">
        <v>0.92855185070999979</v>
      </c>
      <c r="LP63" s="14">
        <v>0.66107904000000006</v>
      </c>
      <c r="LQ63" s="14">
        <v>0.58709902257000002</v>
      </c>
      <c r="LR63" s="14">
        <v>0.72557663775999992</v>
      </c>
      <c r="LS63" s="14">
        <v>0.65791823344333333</v>
      </c>
      <c r="LT63" s="14">
        <v>0.65686463125777772</v>
      </c>
      <c r="LU63" s="149"/>
    </row>
    <row r="64" spans="1:333" x14ac:dyDescent="0.3">
      <c r="A64" s="19" t="s">
        <v>47</v>
      </c>
      <c r="B64" s="19"/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4">
        <v>0</v>
      </c>
      <c r="T64" s="14">
        <v>0</v>
      </c>
      <c r="U64" s="14">
        <v>0</v>
      </c>
      <c r="V64" s="14">
        <v>0</v>
      </c>
      <c r="W64" s="14">
        <v>0</v>
      </c>
      <c r="X64" s="14">
        <v>0</v>
      </c>
      <c r="Y64" s="14">
        <v>0</v>
      </c>
      <c r="Z64" s="14">
        <v>0</v>
      </c>
      <c r="AA64" s="14">
        <v>0</v>
      </c>
      <c r="AB64" s="14">
        <v>0</v>
      </c>
      <c r="AC64" s="14">
        <v>0</v>
      </c>
      <c r="AD64" s="14">
        <v>0</v>
      </c>
      <c r="AE64" s="14">
        <v>0</v>
      </c>
      <c r="AF64" s="14">
        <v>0</v>
      </c>
      <c r="AG64" s="14">
        <v>0</v>
      </c>
      <c r="AH64" s="14">
        <v>0</v>
      </c>
      <c r="AI64" s="14">
        <v>0</v>
      </c>
      <c r="AJ64" s="14">
        <v>0</v>
      </c>
      <c r="AK64" s="14">
        <v>0</v>
      </c>
      <c r="AL64" s="14">
        <v>0</v>
      </c>
      <c r="AM64" s="14">
        <v>0</v>
      </c>
      <c r="AN64" s="14">
        <v>0</v>
      </c>
      <c r="AO64" s="14">
        <v>0</v>
      </c>
      <c r="AP64" s="14">
        <v>0</v>
      </c>
      <c r="AQ64" s="14">
        <v>0</v>
      </c>
      <c r="AR64" s="14">
        <v>0</v>
      </c>
      <c r="AS64" s="14">
        <v>0</v>
      </c>
      <c r="AT64" s="14">
        <v>0</v>
      </c>
      <c r="AU64" s="14">
        <v>0</v>
      </c>
      <c r="AV64" s="14">
        <v>0</v>
      </c>
      <c r="AW64" s="14">
        <v>0</v>
      </c>
      <c r="AX64" s="14">
        <v>0</v>
      </c>
      <c r="AY64" s="14">
        <v>0</v>
      </c>
      <c r="AZ64" s="14">
        <v>0</v>
      </c>
      <c r="BA64" s="14">
        <v>0</v>
      </c>
      <c r="BB64" s="14">
        <v>0</v>
      </c>
      <c r="BC64" s="14">
        <v>0</v>
      </c>
      <c r="BD64" s="14">
        <v>0</v>
      </c>
      <c r="BE64" s="14">
        <v>0</v>
      </c>
      <c r="BF64" s="14">
        <v>0</v>
      </c>
      <c r="BG64" s="14">
        <v>0</v>
      </c>
      <c r="BH64" s="14">
        <v>0</v>
      </c>
      <c r="BI64" s="14">
        <v>0</v>
      </c>
      <c r="BJ64" s="14">
        <v>0</v>
      </c>
      <c r="BK64" s="14">
        <v>0</v>
      </c>
      <c r="BL64" s="14">
        <v>0</v>
      </c>
      <c r="BM64" s="14">
        <v>0</v>
      </c>
      <c r="BN64" s="14">
        <v>0</v>
      </c>
      <c r="BO64" s="14">
        <v>0</v>
      </c>
      <c r="BP64" s="14">
        <v>0</v>
      </c>
      <c r="BQ64" s="14">
        <v>0</v>
      </c>
      <c r="BR64" s="14">
        <v>0</v>
      </c>
      <c r="BS64" s="14">
        <v>0</v>
      </c>
      <c r="BT64" s="14">
        <v>0</v>
      </c>
      <c r="BU64" s="14">
        <v>0</v>
      </c>
      <c r="BV64" s="14">
        <v>0</v>
      </c>
      <c r="BW64" s="14">
        <v>0</v>
      </c>
      <c r="BX64" s="14">
        <v>0</v>
      </c>
      <c r="BY64" s="14">
        <v>0</v>
      </c>
      <c r="BZ64" s="14">
        <v>0</v>
      </c>
      <c r="CA64" s="14">
        <v>0</v>
      </c>
      <c r="CB64" s="14">
        <v>0</v>
      </c>
      <c r="CC64" s="14">
        <v>0</v>
      </c>
      <c r="CD64" s="14">
        <v>0</v>
      </c>
      <c r="CE64" s="14">
        <v>0</v>
      </c>
      <c r="CF64" s="14">
        <v>0</v>
      </c>
      <c r="CG64" s="14">
        <v>0</v>
      </c>
      <c r="CH64" s="14">
        <v>0</v>
      </c>
      <c r="CI64" s="14">
        <v>0</v>
      </c>
      <c r="CJ64" s="14">
        <v>0</v>
      </c>
      <c r="CK64" s="14">
        <v>0</v>
      </c>
      <c r="CL64" s="14">
        <v>0</v>
      </c>
      <c r="CM64" s="14">
        <v>0</v>
      </c>
      <c r="CN64" s="14">
        <v>0</v>
      </c>
      <c r="CO64" s="14">
        <v>0</v>
      </c>
      <c r="CP64" s="14">
        <v>0</v>
      </c>
      <c r="CQ64" s="14">
        <v>0</v>
      </c>
      <c r="CR64" s="14">
        <v>0</v>
      </c>
      <c r="CS64" s="14">
        <v>0</v>
      </c>
      <c r="CT64" s="14">
        <v>0</v>
      </c>
      <c r="CU64" s="14">
        <v>0</v>
      </c>
      <c r="CV64" s="14">
        <v>0</v>
      </c>
      <c r="CW64" s="14">
        <v>0</v>
      </c>
      <c r="CX64" s="14">
        <v>0</v>
      </c>
      <c r="CY64" s="14">
        <v>0</v>
      </c>
      <c r="CZ64" s="14">
        <v>0</v>
      </c>
      <c r="DA64" s="14">
        <v>0</v>
      </c>
      <c r="DB64" s="14">
        <v>0</v>
      </c>
      <c r="DC64" s="14">
        <v>0</v>
      </c>
      <c r="DD64" s="14">
        <v>0</v>
      </c>
      <c r="DE64" s="14">
        <v>0</v>
      </c>
      <c r="DF64" s="14">
        <v>0</v>
      </c>
      <c r="DG64" s="14">
        <v>0</v>
      </c>
      <c r="DH64" s="14">
        <v>0</v>
      </c>
      <c r="DI64" s="14">
        <v>0</v>
      </c>
      <c r="DJ64" s="14">
        <v>0</v>
      </c>
      <c r="DK64" s="14">
        <v>0</v>
      </c>
      <c r="DL64" s="14">
        <v>0</v>
      </c>
      <c r="DM64" s="14">
        <v>0</v>
      </c>
      <c r="DN64" s="14">
        <v>0</v>
      </c>
      <c r="DO64" s="14">
        <v>0</v>
      </c>
      <c r="DP64" s="14">
        <v>0</v>
      </c>
      <c r="DQ64" s="14">
        <v>0</v>
      </c>
      <c r="DR64" s="14">
        <v>0</v>
      </c>
      <c r="DS64" s="14">
        <v>0</v>
      </c>
      <c r="DT64" s="14">
        <v>0</v>
      </c>
      <c r="DU64" s="14">
        <v>0</v>
      </c>
      <c r="DV64" s="14">
        <v>0</v>
      </c>
      <c r="DW64" s="14">
        <v>0</v>
      </c>
      <c r="DX64" s="14">
        <v>0</v>
      </c>
      <c r="DY64" s="14">
        <v>0</v>
      </c>
      <c r="DZ64" s="14">
        <v>0</v>
      </c>
      <c r="EA64" s="14">
        <v>0</v>
      </c>
      <c r="EB64" s="14">
        <v>0</v>
      </c>
      <c r="EC64" s="14">
        <v>0</v>
      </c>
      <c r="ED64" s="14">
        <v>0</v>
      </c>
      <c r="EE64" s="14">
        <v>0</v>
      </c>
      <c r="EF64" s="14">
        <v>0</v>
      </c>
      <c r="EG64" s="14">
        <v>0</v>
      </c>
      <c r="EH64" s="14">
        <v>0</v>
      </c>
      <c r="EI64" s="14">
        <v>0</v>
      </c>
      <c r="EJ64" s="14">
        <v>0</v>
      </c>
      <c r="EK64" s="14">
        <v>2.5935229921863576E-2</v>
      </c>
      <c r="EL64" s="14">
        <v>2.8762169983346707E-2</v>
      </c>
      <c r="EM64" s="14">
        <v>3.1897246511531495E-2</v>
      </c>
      <c r="EN64" s="14">
        <v>3.5374046381288431E-2</v>
      </c>
      <c r="EO64" s="14">
        <v>3.922981743684887E-2</v>
      </c>
      <c r="EP64" s="14">
        <v>4.3505867537465388E-2</v>
      </c>
      <c r="EQ64" s="14">
        <v>5.3507039872845476E-2</v>
      </c>
      <c r="ER64" s="14">
        <v>5.9339307218985629E-2</v>
      </c>
      <c r="ES64" s="14">
        <v>6.5807291705855059E-2</v>
      </c>
      <c r="ET64" s="14">
        <v>7.2980286501793265E-2</v>
      </c>
      <c r="EU64" s="14">
        <v>8.0935137730488715E-2</v>
      </c>
      <c r="EV64" s="14">
        <v>8.9757067743111985E-2</v>
      </c>
      <c r="EW64" s="14">
        <v>9.9540588127111182E-2</v>
      </c>
      <c r="EX64" s="14">
        <v>0.11039051223296628</v>
      </c>
      <c r="EY64" s="14">
        <v>0.1224230780663596</v>
      </c>
      <c r="EZ64" s="14">
        <v>0.1357671935755928</v>
      </c>
      <c r="FA64" s="14">
        <v>0.15056581767533239</v>
      </c>
      <c r="FB64" s="14">
        <v>0.16697749180194366</v>
      </c>
      <c r="FC64" s="14">
        <v>0.18517803840835548</v>
      </c>
      <c r="FD64" s="14">
        <v>0.20536244459486624</v>
      </c>
      <c r="FE64" s="14">
        <v>0.22774695105570666</v>
      </c>
      <c r="FF64" s="14">
        <v>0.25257136872077868</v>
      </c>
      <c r="FG64" s="14">
        <v>0.28010164791134357</v>
      </c>
      <c r="FH64" s="14">
        <v>0.31063272753367999</v>
      </c>
      <c r="FI64" s="14">
        <v>0.33077471000000003</v>
      </c>
      <c r="FJ64" s="14">
        <v>0.34643869999999999</v>
      </c>
      <c r="FK64" s="14">
        <v>0.49993615999999996</v>
      </c>
      <c r="FL64" s="14">
        <v>0.76876690000000003</v>
      </c>
      <c r="FM64" s="14">
        <v>1.0375953100000002</v>
      </c>
      <c r="FN64" s="14">
        <v>0.33327809000000003</v>
      </c>
      <c r="FO64" s="14">
        <v>0.34603902000000003</v>
      </c>
      <c r="FP64" s="14">
        <v>0.37978896999999995</v>
      </c>
      <c r="FQ64" s="14">
        <v>0.41353820000000002</v>
      </c>
      <c r="FR64" s="14">
        <v>0.89968824999999997</v>
      </c>
      <c r="FS64" s="14">
        <v>0.38348494</v>
      </c>
      <c r="FT64" s="14">
        <v>0.57810292000000008</v>
      </c>
      <c r="FU64" s="14">
        <v>0.31666678999999998</v>
      </c>
      <c r="FV64" s="14">
        <v>0.42249340999999996</v>
      </c>
      <c r="FW64" s="14">
        <v>0.52832003999999999</v>
      </c>
      <c r="FX64" s="14">
        <v>0.51063773999999995</v>
      </c>
      <c r="FY64" s="14">
        <v>0.49295145000000001</v>
      </c>
      <c r="FZ64" s="14">
        <v>0.54105800000000004</v>
      </c>
      <c r="GA64" s="14">
        <v>0.61294896999999993</v>
      </c>
      <c r="GB64" s="14">
        <v>0.50277978000000001</v>
      </c>
      <c r="GC64" s="14">
        <v>0.3926057</v>
      </c>
      <c r="GD64" s="14">
        <v>0.39106098</v>
      </c>
      <c r="GE64" s="14">
        <v>0.38951246</v>
      </c>
      <c r="GF64" s="14">
        <v>0.54544722999999995</v>
      </c>
      <c r="GG64" s="14">
        <v>1.2147090858</v>
      </c>
      <c r="GH64" s="14">
        <v>0.62576576187999988</v>
      </c>
      <c r="GI64" s="14">
        <v>0.55290884263999995</v>
      </c>
      <c r="GJ64" s="14">
        <v>0.35767276440000012</v>
      </c>
      <c r="GK64" s="14">
        <v>0.40510822912000005</v>
      </c>
      <c r="GL64" s="14">
        <v>0.52328716384000007</v>
      </c>
      <c r="GM64" s="14">
        <v>0.48220712616719996</v>
      </c>
      <c r="GN64" s="14">
        <v>0.81238481662520001</v>
      </c>
      <c r="GO64" s="14">
        <v>0.67977406310687982</v>
      </c>
      <c r="GP64" s="14">
        <v>0.81710613631864004</v>
      </c>
      <c r="GQ64" s="14">
        <v>0.86425685952396025</v>
      </c>
      <c r="GR64" s="14">
        <v>1.0261654881256801</v>
      </c>
      <c r="GS64" s="14">
        <v>0.67431552990535959</v>
      </c>
      <c r="GT64" s="14">
        <v>0.83832782147939944</v>
      </c>
      <c r="GU64" s="14">
        <v>0.85330941813487993</v>
      </c>
      <c r="GV64" s="14">
        <v>0.74445094846863991</v>
      </c>
      <c r="GW64" s="14">
        <v>0.80066261280740192</v>
      </c>
      <c r="GX64" s="14">
        <v>1.5486996502174397</v>
      </c>
      <c r="GY64" s="14">
        <v>0.54602864459751965</v>
      </c>
      <c r="GZ64" s="14">
        <v>0.82457139636116139</v>
      </c>
      <c r="HA64" s="14">
        <v>0.74776201671038023</v>
      </c>
      <c r="HB64" s="14">
        <v>0.70759972520454006</v>
      </c>
      <c r="HC64" s="14">
        <v>0.71611319094279935</v>
      </c>
      <c r="HD64" s="14">
        <v>0.47273361587718005</v>
      </c>
      <c r="HE64" s="14">
        <v>0.93261243553999995</v>
      </c>
      <c r="HF64" s="14">
        <v>0.71728545372000008</v>
      </c>
      <c r="HG64" s="14">
        <v>0.8016768633000001</v>
      </c>
      <c r="HH64" s="14">
        <v>1.1386266405800001</v>
      </c>
      <c r="HI64" s="14">
        <v>1.40119393183</v>
      </c>
      <c r="HJ64" s="14">
        <v>0.96827476398000001</v>
      </c>
      <c r="HK64" s="14">
        <v>1.0892727955800003</v>
      </c>
      <c r="HL64" s="14">
        <v>1.2365727572200003</v>
      </c>
      <c r="HM64" s="14">
        <v>0.97585688309999974</v>
      </c>
      <c r="HN64" s="14">
        <v>1.1239431495299999</v>
      </c>
      <c r="HO64" s="14">
        <v>0.75030108372000004</v>
      </c>
      <c r="HP64" s="14">
        <v>1.0938916031700001</v>
      </c>
      <c r="HQ64" s="14">
        <v>0.79452036000000004</v>
      </c>
      <c r="HR64" s="14">
        <v>0.90878488000000002</v>
      </c>
      <c r="HS64" s="14">
        <v>0.78586875</v>
      </c>
      <c r="HT64" s="14">
        <v>0.66295156000000099</v>
      </c>
      <c r="HU64" s="14">
        <v>0.6161198</v>
      </c>
      <c r="HV64" s="14">
        <v>0.56700064999999999</v>
      </c>
      <c r="HW64" s="14">
        <v>0.59614482999999996</v>
      </c>
      <c r="HX64" s="14">
        <v>0.76352931999999996</v>
      </c>
      <c r="HY64" s="14">
        <v>0.86387214000000001</v>
      </c>
      <c r="HZ64" s="14">
        <v>0.55068834</v>
      </c>
      <c r="IA64" s="14">
        <v>0.44766708</v>
      </c>
      <c r="IB64" s="14">
        <v>0.37201962</v>
      </c>
      <c r="IC64" s="14">
        <v>0.41089827999999912</v>
      </c>
      <c r="ID64" s="14">
        <v>0.41599172999999984</v>
      </c>
      <c r="IE64" s="14">
        <v>0.42065526000000025</v>
      </c>
      <c r="IF64" s="14">
        <v>0.43998639999999978</v>
      </c>
      <c r="IG64" s="14">
        <v>0.39191036999999956</v>
      </c>
      <c r="IH64" s="14">
        <v>0.30121004999999967</v>
      </c>
      <c r="II64" s="14">
        <v>0.27494282999999975</v>
      </c>
      <c r="IJ64" s="14">
        <v>0.41925165000000053</v>
      </c>
      <c r="IK64" s="14">
        <v>0.29585398000000007</v>
      </c>
      <c r="IL64" s="14">
        <v>0.50268324000000064</v>
      </c>
      <c r="IM64" s="14">
        <v>0.36973351999999965</v>
      </c>
      <c r="IN64" s="14">
        <v>0.36033427000000018</v>
      </c>
      <c r="IO64" s="14">
        <v>0.55150369999999982</v>
      </c>
      <c r="IP64" s="14">
        <v>0.34851451000000017</v>
      </c>
      <c r="IQ64" s="14">
        <v>0.46171309000000005</v>
      </c>
      <c r="IR64" s="14">
        <v>0.44747091000000017</v>
      </c>
      <c r="IS64" s="14">
        <v>0.46904468000000005</v>
      </c>
      <c r="IT64" s="14">
        <v>0.46198063000000017</v>
      </c>
      <c r="IU64" s="14">
        <v>0.56476593000000008</v>
      </c>
      <c r="IV64" s="14">
        <v>0.5090192600000002</v>
      </c>
      <c r="IW64" s="14">
        <v>0.60091634999999988</v>
      </c>
      <c r="IX64" s="14">
        <v>0.70610380999999867</v>
      </c>
      <c r="IY64" s="14">
        <v>0.48730890999999804</v>
      </c>
      <c r="IZ64" s="14">
        <v>0.51031796000000018</v>
      </c>
      <c r="JA64" s="14">
        <v>0.45283809000000019</v>
      </c>
      <c r="JB64" s="14">
        <v>0.30559498000000018</v>
      </c>
      <c r="JC64" s="14">
        <v>0.36358994000000017</v>
      </c>
      <c r="JD64" s="14">
        <v>0.39574336999999998</v>
      </c>
      <c r="JE64" s="14">
        <v>0.48213164999999986</v>
      </c>
      <c r="JF64" s="14">
        <v>0.47814524999999991</v>
      </c>
      <c r="JG64" s="14">
        <v>0.46971950770000015</v>
      </c>
      <c r="JH64" s="14">
        <v>0.46129376540000039</v>
      </c>
      <c r="JI64" s="14">
        <v>0.41658299851000036</v>
      </c>
      <c r="JJ64" s="14">
        <v>0.37026446999999968</v>
      </c>
      <c r="JK64" s="14">
        <v>0.3745038138100007</v>
      </c>
      <c r="JL64" s="14">
        <v>0.3780496800000005</v>
      </c>
      <c r="JM64" s="14">
        <v>0.37336902052999998</v>
      </c>
      <c r="JN64" s="14">
        <v>0.36669015616</v>
      </c>
      <c r="JO64" s="14">
        <v>0.51188887776000003</v>
      </c>
      <c r="JP64" s="14">
        <v>0.3591885385000001</v>
      </c>
      <c r="JQ64" s="14">
        <v>0.39490813957999998</v>
      </c>
      <c r="JR64" s="14">
        <v>0.42376580889999987</v>
      </c>
      <c r="JS64" s="14">
        <v>0.40138203641000003</v>
      </c>
      <c r="JT64" s="14">
        <v>0.38239531233999996</v>
      </c>
      <c r="JU64" s="14">
        <v>0.43425553246000004</v>
      </c>
      <c r="JV64" s="14">
        <v>0.35829410288999991</v>
      </c>
      <c r="JW64" s="14">
        <v>0.4126242511999999</v>
      </c>
      <c r="JX64" s="14">
        <v>0.38454034181000002</v>
      </c>
      <c r="JY64" s="14">
        <v>0.42031349432000015</v>
      </c>
      <c r="JZ64" s="14">
        <v>0.44425273892</v>
      </c>
      <c r="KA64" s="14">
        <v>0.51528733118999992</v>
      </c>
      <c r="KB64" s="14">
        <v>0.39631210328999994</v>
      </c>
      <c r="KC64" s="14">
        <v>0.35181411628000003</v>
      </c>
      <c r="KD64" s="14">
        <v>0.52482952409000005</v>
      </c>
      <c r="KE64" s="14">
        <v>0.28460734515000008</v>
      </c>
      <c r="KF64" s="14">
        <v>0.32555000273000001</v>
      </c>
      <c r="KG64" s="14">
        <v>0.24471400298000001</v>
      </c>
      <c r="KH64" s="14">
        <v>0.24389910909999996</v>
      </c>
      <c r="KI64" s="14">
        <v>0.29484883142999996</v>
      </c>
      <c r="KJ64" s="14">
        <v>0.35584779292000002</v>
      </c>
      <c r="KK64" s="14">
        <v>0.39567627598999994</v>
      </c>
      <c r="KL64" s="14">
        <v>0.36769151794000005</v>
      </c>
      <c r="KM64" s="14">
        <v>0.34050109519564009</v>
      </c>
      <c r="KN64" s="14">
        <v>0.39241120703760501</v>
      </c>
      <c r="KO64" s="14">
        <v>0.3640558663200002</v>
      </c>
      <c r="KP64" s="14">
        <v>0.58104613823000006</v>
      </c>
      <c r="KQ64" s="14">
        <v>0.28058709777999996</v>
      </c>
      <c r="KR64" s="14">
        <v>0.29969661429</v>
      </c>
      <c r="KS64" s="14">
        <v>0.33362459822000001</v>
      </c>
      <c r="KT64" s="14">
        <v>0.27302050709000009</v>
      </c>
      <c r="KU64" s="14">
        <v>0.33383380388000006</v>
      </c>
      <c r="KV64" s="14">
        <v>0.29210067649999999</v>
      </c>
      <c r="KW64" s="14">
        <v>0.34695351640999994</v>
      </c>
      <c r="KX64" s="14">
        <v>0.31677388696000003</v>
      </c>
      <c r="KY64" s="14">
        <v>0.43771032073999999</v>
      </c>
      <c r="KZ64" s="14">
        <v>0.33818502819999996</v>
      </c>
      <c r="LA64" s="14">
        <v>0.44960811738000001</v>
      </c>
      <c r="LB64" s="14">
        <v>0.39567424812999985</v>
      </c>
      <c r="LC64" s="14">
        <v>0.38463067413999996</v>
      </c>
      <c r="LD64" s="14">
        <v>0.44165467644999984</v>
      </c>
      <c r="LE64" s="14">
        <v>0.49867867875999983</v>
      </c>
      <c r="LF64" s="14">
        <v>0.54190739111999997</v>
      </c>
      <c r="LG64" s="14">
        <v>0.46027501721999997</v>
      </c>
      <c r="LH64" s="14">
        <v>0.74994793288999995</v>
      </c>
      <c r="LI64" s="14">
        <v>0.58404344707666667</v>
      </c>
      <c r="LJ64" s="14">
        <v>0.59808879906222212</v>
      </c>
      <c r="LK64" s="14">
        <v>0.64402672634296299</v>
      </c>
      <c r="LL64" s="14">
        <v>0.38429677138000001</v>
      </c>
      <c r="LM64" s="14">
        <v>0.42740942212999983</v>
      </c>
      <c r="LN64" s="14">
        <v>0.43884240792000001</v>
      </c>
      <c r="LO64" s="14">
        <v>0.55740554020999999</v>
      </c>
      <c r="LP64" s="14">
        <v>0.53998197999999997</v>
      </c>
      <c r="LQ64" s="14">
        <v>0.61821064780000012</v>
      </c>
      <c r="LR64" s="14">
        <v>0.5718660560033334</v>
      </c>
      <c r="LS64" s="14">
        <v>0.57668622793444446</v>
      </c>
      <c r="LT64" s="14">
        <v>0.58892097724592596</v>
      </c>
      <c r="LU64" s="149"/>
    </row>
    <row r="65" spans="1:447" x14ac:dyDescent="0.3">
      <c r="A65" s="19" t="s">
        <v>48</v>
      </c>
      <c r="B65" s="19"/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4">
        <v>0</v>
      </c>
      <c r="T65" s="14">
        <v>0</v>
      </c>
      <c r="U65" s="14">
        <v>0</v>
      </c>
      <c r="V65" s="14">
        <v>0</v>
      </c>
      <c r="W65" s="14">
        <v>0</v>
      </c>
      <c r="X65" s="14">
        <v>0</v>
      </c>
      <c r="Y65" s="14">
        <v>0</v>
      </c>
      <c r="Z65" s="14">
        <v>0</v>
      </c>
      <c r="AA65" s="14">
        <v>0</v>
      </c>
      <c r="AB65" s="14">
        <v>0</v>
      </c>
      <c r="AC65" s="14">
        <v>0</v>
      </c>
      <c r="AD65" s="14">
        <v>0</v>
      </c>
      <c r="AE65" s="14">
        <v>0</v>
      </c>
      <c r="AF65" s="14">
        <v>0</v>
      </c>
      <c r="AG65" s="14">
        <v>0</v>
      </c>
      <c r="AH65" s="14">
        <v>0</v>
      </c>
      <c r="AI65" s="14">
        <v>0</v>
      </c>
      <c r="AJ65" s="14">
        <v>0</v>
      </c>
      <c r="AK65" s="14">
        <v>0</v>
      </c>
      <c r="AL65" s="14">
        <v>0</v>
      </c>
      <c r="AM65" s="14">
        <v>0</v>
      </c>
      <c r="AN65" s="14">
        <v>0</v>
      </c>
      <c r="AO65" s="14">
        <v>0</v>
      </c>
      <c r="AP65" s="14">
        <v>0</v>
      </c>
      <c r="AQ65" s="14">
        <v>0</v>
      </c>
      <c r="AR65" s="14">
        <v>0</v>
      </c>
      <c r="AS65" s="14">
        <v>0</v>
      </c>
      <c r="AT65" s="14">
        <v>0</v>
      </c>
      <c r="AU65" s="14">
        <v>0</v>
      </c>
      <c r="AV65" s="14">
        <v>0</v>
      </c>
      <c r="AW65" s="14">
        <v>0</v>
      </c>
      <c r="AX65" s="14">
        <v>0</v>
      </c>
      <c r="AY65" s="14">
        <v>0</v>
      </c>
      <c r="AZ65" s="14">
        <v>0</v>
      </c>
      <c r="BA65" s="14">
        <v>0</v>
      </c>
      <c r="BB65" s="14">
        <v>0</v>
      </c>
      <c r="BC65" s="14">
        <v>0</v>
      </c>
      <c r="BD65" s="14">
        <v>0</v>
      </c>
      <c r="BE65" s="14">
        <v>0</v>
      </c>
      <c r="BF65" s="14">
        <v>0</v>
      </c>
      <c r="BG65" s="14">
        <v>0</v>
      </c>
      <c r="BH65" s="14">
        <v>0</v>
      </c>
      <c r="BI65" s="14">
        <v>0</v>
      </c>
      <c r="BJ65" s="14">
        <v>0</v>
      </c>
      <c r="BK65" s="14">
        <v>0</v>
      </c>
      <c r="BL65" s="14">
        <v>0</v>
      </c>
      <c r="BM65" s="14">
        <v>0</v>
      </c>
      <c r="BN65" s="14">
        <v>0</v>
      </c>
      <c r="BO65" s="14">
        <v>0</v>
      </c>
      <c r="BP65" s="14">
        <v>0</v>
      </c>
      <c r="BQ65" s="14">
        <v>0</v>
      </c>
      <c r="BR65" s="14">
        <v>0</v>
      </c>
      <c r="BS65" s="14">
        <v>0</v>
      </c>
      <c r="BT65" s="14">
        <v>0</v>
      </c>
      <c r="BU65" s="14">
        <v>0</v>
      </c>
      <c r="BV65" s="14">
        <v>0</v>
      </c>
      <c r="BW65" s="14">
        <v>0</v>
      </c>
      <c r="BX65" s="14">
        <v>0</v>
      </c>
      <c r="BY65" s="14">
        <v>0</v>
      </c>
      <c r="BZ65" s="14">
        <v>0</v>
      </c>
      <c r="CA65" s="14">
        <v>0</v>
      </c>
      <c r="CB65" s="14">
        <v>0</v>
      </c>
      <c r="CC65" s="14">
        <v>0</v>
      </c>
      <c r="CD65" s="14">
        <v>0</v>
      </c>
      <c r="CE65" s="14">
        <v>0</v>
      </c>
      <c r="CF65" s="14">
        <v>0</v>
      </c>
      <c r="CG65" s="14">
        <v>0</v>
      </c>
      <c r="CH65" s="14">
        <v>0</v>
      </c>
      <c r="CI65" s="14">
        <v>0</v>
      </c>
      <c r="CJ65" s="14">
        <v>0</v>
      </c>
      <c r="CK65" s="14">
        <v>0</v>
      </c>
      <c r="CL65" s="14">
        <v>0</v>
      </c>
      <c r="CM65" s="14">
        <v>0</v>
      </c>
      <c r="CN65" s="14">
        <v>0</v>
      </c>
      <c r="CO65" s="14">
        <v>0</v>
      </c>
      <c r="CP65" s="14">
        <v>0</v>
      </c>
      <c r="CQ65" s="14">
        <v>0</v>
      </c>
      <c r="CR65" s="14">
        <v>0</v>
      </c>
      <c r="CS65" s="14">
        <v>0</v>
      </c>
      <c r="CT65" s="14">
        <v>0</v>
      </c>
      <c r="CU65" s="14">
        <v>0</v>
      </c>
      <c r="CV65" s="14">
        <v>0</v>
      </c>
      <c r="CW65" s="14">
        <v>0</v>
      </c>
      <c r="CX65" s="14">
        <v>0</v>
      </c>
      <c r="CY65" s="14">
        <v>0</v>
      </c>
      <c r="CZ65" s="14">
        <v>0</v>
      </c>
      <c r="DA65" s="14">
        <v>0</v>
      </c>
      <c r="DB65" s="14">
        <v>0</v>
      </c>
      <c r="DC65" s="14">
        <v>0</v>
      </c>
      <c r="DD65" s="14">
        <v>0</v>
      </c>
      <c r="DE65" s="14">
        <v>0</v>
      </c>
      <c r="DF65" s="14">
        <v>0</v>
      </c>
      <c r="DG65" s="14">
        <v>0</v>
      </c>
      <c r="DH65" s="14">
        <v>0</v>
      </c>
      <c r="DI65" s="14">
        <v>0</v>
      </c>
      <c r="DJ65" s="14">
        <v>0</v>
      </c>
      <c r="DK65" s="14">
        <v>0</v>
      </c>
      <c r="DL65" s="14">
        <v>0</v>
      </c>
      <c r="DM65" s="14">
        <v>0</v>
      </c>
      <c r="DN65" s="14">
        <v>0</v>
      </c>
      <c r="DO65" s="14">
        <v>0</v>
      </c>
      <c r="DP65" s="14">
        <v>0</v>
      </c>
      <c r="DQ65" s="14">
        <v>0</v>
      </c>
      <c r="DR65" s="14">
        <v>0</v>
      </c>
      <c r="DS65" s="14">
        <v>0</v>
      </c>
      <c r="DT65" s="14">
        <v>0</v>
      </c>
      <c r="DU65" s="14">
        <v>0</v>
      </c>
      <c r="DV65" s="14">
        <v>0</v>
      </c>
      <c r="DW65" s="14">
        <v>0</v>
      </c>
      <c r="DX65" s="14">
        <v>0</v>
      </c>
      <c r="DY65" s="14">
        <v>0</v>
      </c>
      <c r="DZ65" s="14">
        <v>0</v>
      </c>
      <c r="EA65" s="14">
        <v>0</v>
      </c>
      <c r="EB65" s="14">
        <v>0</v>
      </c>
      <c r="EC65" s="14">
        <v>0</v>
      </c>
      <c r="ED65" s="14">
        <v>0</v>
      </c>
      <c r="EE65" s="14">
        <v>0</v>
      </c>
      <c r="EF65" s="14">
        <v>0</v>
      </c>
      <c r="EG65" s="14">
        <v>0</v>
      </c>
      <c r="EH65" s="14">
        <v>0</v>
      </c>
      <c r="EI65" s="14">
        <v>0</v>
      </c>
      <c r="EJ65" s="14">
        <v>0</v>
      </c>
      <c r="EK65" s="14">
        <v>6.7015301657362289E-2</v>
      </c>
      <c r="EL65" s="14">
        <v>7.4319969538014785E-2</v>
      </c>
      <c r="EM65" s="14">
        <v>8.2420846217658397E-2</v>
      </c>
      <c r="EN65" s="14">
        <v>9.1404718455383172E-2</v>
      </c>
      <c r="EO65" s="14">
        <v>0.10136783276701992</v>
      </c>
      <c r="EP65" s="14">
        <v>0.11241692653862509</v>
      </c>
      <c r="EQ65" s="14">
        <v>0.13825944202825077</v>
      </c>
      <c r="ER65" s="14">
        <v>0.15332972120933011</v>
      </c>
      <c r="ES65" s="14">
        <v>0.17004266082114708</v>
      </c>
      <c r="ET65" s="14">
        <v>0.1885773108506521</v>
      </c>
      <c r="EU65" s="14">
        <v>0.20913223773337317</v>
      </c>
      <c r="EV65" s="14">
        <v>0.23192765164631082</v>
      </c>
      <c r="EW65" s="14">
        <v>0.2572077656757587</v>
      </c>
      <c r="EX65" s="14">
        <v>0.28524341213441634</v>
      </c>
      <c r="EY65" s="14">
        <v>0.31633494405706769</v>
      </c>
      <c r="EZ65" s="14">
        <v>0.35081545295928812</v>
      </c>
      <c r="FA65" s="14">
        <v>0.38905433733185046</v>
      </c>
      <c r="FB65" s="14">
        <v>0.4314612601010222</v>
      </c>
      <c r="FC65" s="14">
        <v>0.47849053745203357</v>
      </c>
      <c r="FD65" s="14">
        <v>0.53064600603430523</v>
      </c>
      <c r="FE65" s="14">
        <v>0.58848642069204449</v>
      </c>
      <c r="FF65" s="14">
        <v>0.65263144054747735</v>
      </c>
      <c r="FG65" s="14">
        <v>0.7237682675671524</v>
      </c>
      <c r="FH65" s="14">
        <v>0.80265900873197193</v>
      </c>
      <c r="FI65" s="14">
        <v>0.65127467000000006</v>
      </c>
      <c r="FJ65" s="14">
        <v>0.68211593000000004</v>
      </c>
      <c r="FK65" s="14">
        <v>1.6764837299999999</v>
      </c>
      <c r="FL65" s="14">
        <v>1.4249646699999998</v>
      </c>
      <c r="FM65" s="14">
        <v>1.1734504099999998</v>
      </c>
      <c r="FN65" s="14">
        <v>0.73684375000000002</v>
      </c>
      <c r="FO65" s="14">
        <v>0.76505658999999993</v>
      </c>
      <c r="FP65" s="14">
        <v>1.0336473100000001</v>
      </c>
      <c r="FQ65" s="14">
        <v>1.3022279099999998</v>
      </c>
      <c r="FR65" s="14">
        <v>1.7079715800000002</v>
      </c>
      <c r="FS65" s="14">
        <v>2.5083037400000001</v>
      </c>
      <c r="FT65" s="14">
        <v>2.2083699700000001</v>
      </c>
      <c r="FU65" s="14">
        <v>0.99275356000000003</v>
      </c>
      <c r="FV65" s="14">
        <v>1.3245209599999999</v>
      </c>
      <c r="FW65" s="14">
        <v>1.6562885700000001</v>
      </c>
      <c r="FX65" s="14">
        <v>1.9240302300000001</v>
      </c>
      <c r="FY65" s="14">
        <v>2.1917540799999999</v>
      </c>
      <c r="FZ65" s="14">
        <v>1.95384001</v>
      </c>
      <c r="GA65" s="14">
        <v>2.2134488299999999</v>
      </c>
      <c r="GB65" s="14">
        <v>1.8387821499999999</v>
      </c>
      <c r="GC65" s="14">
        <v>1.46409375</v>
      </c>
      <c r="GD65" s="14">
        <v>1.60697618</v>
      </c>
      <c r="GE65" s="14">
        <v>1.7498404999999999</v>
      </c>
      <c r="GF65" s="14">
        <v>2.45035961</v>
      </c>
      <c r="GG65" s="14">
        <v>3.3841296400799998</v>
      </c>
      <c r="GH65" s="14">
        <v>3.324422792880001</v>
      </c>
      <c r="GI65" s="14">
        <v>2.9373657784799994</v>
      </c>
      <c r="GJ65" s="14">
        <v>1.5155381637199996</v>
      </c>
      <c r="GK65" s="14">
        <v>1.7165331083600011</v>
      </c>
      <c r="GL65" s="14">
        <v>2.0508021083199988</v>
      </c>
      <c r="GM65" s="14">
        <v>2.61573217837512</v>
      </c>
      <c r="GN65" s="14">
        <v>3.0265967448155604</v>
      </c>
      <c r="GO65" s="14">
        <v>3.7169825956029183</v>
      </c>
      <c r="GP65" s="14">
        <v>3.9158012937649196</v>
      </c>
      <c r="GQ65" s="14">
        <v>5.0804110413685999</v>
      </c>
      <c r="GR65" s="14">
        <v>6.2884826613243607</v>
      </c>
      <c r="GS65" s="14">
        <v>3.9829664472257718</v>
      </c>
      <c r="GT65" s="14">
        <v>4.5052760077672156</v>
      </c>
      <c r="GU65" s="14">
        <v>5.0605859955095189</v>
      </c>
      <c r="GV65" s="14">
        <v>5.1655403276938943</v>
      </c>
      <c r="GW65" s="14">
        <v>3.4072461776327758</v>
      </c>
      <c r="GX65" s="14">
        <v>4.9036994931057052</v>
      </c>
      <c r="GY65" s="14">
        <v>3.0525620008237202</v>
      </c>
      <c r="GZ65" s="14">
        <v>3.8897348719485132</v>
      </c>
      <c r="HA65" s="14">
        <v>3.669833981897872</v>
      </c>
      <c r="HB65" s="14">
        <v>3.9555228506512643</v>
      </c>
      <c r="HC65" s="14">
        <v>3.8609066894554802</v>
      </c>
      <c r="HD65" s="14">
        <v>3.3218200604111612</v>
      </c>
      <c r="HE65" s="14">
        <v>4.801348678730001</v>
      </c>
      <c r="HF65" s="14">
        <v>3.7152923070999995</v>
      </c>
      <c r="HG65" s="14">
        <v>3.8260010287399999</v>
      </c>
      <c r="HH65" s="14">
        <v>5.4726431289199979</v>
      </c>
      <c r="HI65" s="14">
        <v>5.7447472398000023</v>
      </c>
      <c r="HJ65" s="14">
        <v>4.6687368782900007</v>
      </c>
      <c r="HK65" s="14">
        <v>5.323529828429999</v>
      </c>
      <c r="HL65" s="14">
        <v>5.9560409978499989</v>
      </c>
      <c r="HM65" s="14">
        <v>6.6804919669200018</v>
      </c>
      <c r="HN65" s="14">
        <v>7.0718720749499981</v>
      </c>
      <c r="HO65" s="14">
        <v>8.2429030803700005</v>
      </c>
      <c r="HP65" s="14">
        <v>8.5935247294200003</v>
      </c>
      <c r="HQ65" s="14">
        <v>6.5146738399999995</v>
      </c>
      <c r="HR65" s="14">
        <v>4.3905500000000002</v>
      </c>
      <c r="HS65" s="14">
        <v>3.8849612999999996</v>
      </c>
      <c r="HT65" s="14">
        <v>3.3793662100000001</v>
      </c>
      <c r="HU65" s="14">
        <v>4.2665744600000002</v>
      </c>
      <c r="HV65" s="14">
        <v>3.8750180600000097</v>
      </c>
      <c r="HW65" s="14">
        <v>4.9108180499999996</v>
      </c>
      <c r="HX65" s="14">
        <v>4.4557650000000004</v>
      </c>
      <c r="HY65" s="14">
        <v>5.5312621799999908</v>
      </c>
      <c r="HZ65" s="14">
        <v>3.7812367299999998</v>
      </c>
      <c r="IA65" s="14">
        <v>4.9450829199999999</v>
      </c>
      <c r="IB65" s="14">
        <v>5.2562490999999998</v>
      </c>
      <c r="IC65" s="14">
        <v>3.5074264800000083</v>
      </c>
      <c r="ID65" s="14">
        <v>2.6074881700000025</v>
      </c>
      <c r="IE65" s="14">
        <v>3.8348653900000009</v>
      </c>
      <c r="IF65" s="14">
        <v>3.1370484500000004</v>
      </c>
      <c r="IG65" s="14">
        <v>3.7973341500000002</v>
      </c>
      <c r="IH65" s="14">
        <v>3.6237740300000048</v>
      </c>
      <c r="II65" s="14">
        <v>3.733116820000006</v>
      </c>
      <c r="IJ65" s="14">
        <v>3.9636712600000048</v>
      </c>
      <c r="IK65" s="14">
        <v>4.0184322400000108</v>
      </c>
      <c r="IL65" s="14">
        <v>4.3761217800000098</v>
      </c>
      <c r="IM65" s="14">
        <v>5.7403033300000041</v>
      </c>
      <c r="IN65" s="14">
        <v>4.2910127799999973</v>
      </c>
      <c r="IO65" s="14">
        <v>4.3189793599999984</v>
      </c>
      <c r="IP65" s="14">
        <v>4.5146452899999971</v>
      </c>
      <c r="IQ65" s="14">
        <v>4.6305243899999917</v>
      </c>
      <c r="IR65" s="14">
        <v>4.4699573499999987</v>
      </c>
      <c r="IS65" s="14">
        <v>4.665567459999985</v>
      </c>
      <c r="IT65" s="14">
        <v>4.3125105200000053</v>
      </c>
      <c r="IU65" s="14">
        <v>3.8871127500000142</v>
      </c>
      <c r="IV65" s="14">
        <v>5.117014740000001</v>
      </c>
      <c r="IW65" s="14">
        <v>7.5592359900000181</v>
      </c>
      <c r="IX65" s="14">
        <v>7.8094453399999821</v>
      </c>
      <c r="IY65" s="14">
        <v>7.1596138000000105</v>
      </c>
      <c r="IZ65" s="14">
        <v>7.659220119999997</v>
      </c>
      <c r="JA65" s="14">
        <v>5.2215701100000151</v>
      </c>
      <c r="JB65" s="14">
        <v>4.1111064400000057</v>
      </c>
      <c r="JC65" s="14">
        <v>4.2205108600000001</v>
      </c>
      <c r="JD65" s="14">
        <v>4.6789858900000052</v>
      </c>
      <c r="JE65" s="14">
        <v>5.606276689999997</v>
      </c>
      <c r="JF65" s="14">
        <v>4.4536906699999896</v>
      </c>
      <c r="JG65" s="14">
        <v>5.0950303881449868</v>
      </c>
      <c r="JH65" s="14">
        <v>5.7363701062899839</v>
      </c>
      <c r="JI65" s="14">
        <v>6.4815348006699898</v>
      </c>
      <c r="JJ65" s="14">
        <v>5.9722963999999816</v>
      </c>
      <c r="JK65" s="14">
        <v>6.7957754042400085</v>
      </c>
      <c r="JL65" s="14">
        <v>5.8693593099999832</v>
      </c>
      <c r="JM65" s="14">
        <v>5.2465165788399952</v>
      </c>
      <c r="JN65" s="14">
        <v>4.4896902932799998</v>
      </c>
      <c r="JO65" s="14">
        <v>5.2023790657699962</v>
      </c>
      <c r="JP65" s="14">
        <v>5.9036148055700028</v>
      </c>
      <c r="JQ65" s="14">
        <v>5.8009121763100007</v>
      </c>
      <c r="JR65" s="14">
        <v>5.8771072818000043</v>
      </c>
      <c r="JS65" s="14">
        <v>5.0862846539800035</v>
      </c>
      <c r="JT65" s="14">
        <v>5.2230797420499995</v>
      </c>
      <c r="JU65" s="14">
        <v>6.0956430288199916</v>
      </c>
      <c r="JV65" s="14">
        <v>6.4793233945599962</v>
      </c>
      <c r="JW65" s="14">
        <v>6.9701802209499979</v>
      </c>
      <c r="JX65" s="14">
        <v>7.9273401390699876</v>
      </c>
      <c r="JY65" s="14">
        <v>4.4414750279599993</v>
      </c>
      <c r="JZ65" s="14">
        <v>4.9085186964399981</v>
      </c>
      <c r="KA65" s="14">
        <v>5.0389923945600001</v>
      </c>
      <c r="KB65" s="14">
        <v>5.7442942588399983</v>
      </c>
      <c r="KC65" s="14">
        <v>4.6061728288400028</v>
      </c>
      <c r="KD65" s="14">
        <v>4.1635650366299997</v>
      </c>
      <c r="KE65" s="14">
        <v>4.1710705682899993</v>
      </c>
      <c r="KF65" s="14">
        <v>3.7189834374600004</v>
      </c>
      <c r="KG65" s="14">
        <v>3.9261852107400004</v>
      </c>
      <c r="KH65" s="14">
        <v>3.2966534297500005</v>
      </c>
      <c r="KI65" s="14">
        <v>3.0150213207500007</v>
      </c>
      <c r="KJ65" s="14">
        <v>4.7356265224099987</v>
      </c>
      <c r="KK65" s="14">
        <v>4.5269240533000019</v>
      </c>
      <c r="KL65" s="14">
        <v>4.0341496072099989</v>
      </c>
      <c r="KM65" s="14">
        <v>3.7913785590978208</v>
      </c>
      <c r="KN65" s="14">
        <v>3.6114658608318546</v>
      </c>
      <c r="KO65" s="14">
        <v>3.539260377620002</v>
      </c>
      <c r="KP65" s="14">
        <v>2.90921833754</v>
      </c>
      <c r="KQ65" s="14">
        <v>3.2956215510100018</v>
      </c>
      <c r="KR65" s="14">
        <v>3.0661037457800009</v>
      </c>
      <c r="KS65" s="14">
        <v>3.092996267979998</v>
      </c>
      <c r="KT65" s="14">
        <v>3.8455244053900008</v>
      </c>
      <c r="KU65" s="14">
        <v>3.5462014940099991</v>
      </c>
      <c r="KV65" s="14">
        <v>3.7103906060600043</v>
      </c>
      <c r="KW65" s="14">
        <v>3.5425419273800034</v>
      </c>
      <c r="KX65" s="14">
        <v>4.1724091099200029</v>
      </c>
      <c r="KY65" s="14">
        <v>4.05663162935</v>
      </c>
      <c r="KZ65" s="14">
        <v>4.3227190685999988</v>
      </c>
      <c r="LA65" s="14">
        <v>3.2090468453700005</v>
      </c>
      <c r="LB65" s="14">
        <v>2.9120239474700016</v>
      </c>
      <c r="LC65" s="14">
        <v>2.5698394409899996</v>
      </c>
      <c r="LD65" s="14">
        <v>3.2810875564650002</v>
      </c>
      <c r="LE65" s="14">
        <v>3.9923356719399998</v>
      </c>
      <c r="LF65" s="14">
        <v>5.5812320816500023</v>
      </c>
      <c r="LG65" s="14">
        <v>5.3581032838000002</v>
      </c>
      <c r="LH65" s="14">
        <v>6.1892571377499959</v>
      </c>
      <c r="LI65" s="14">
        <v>5.7095308343999989</v>
      </c>
      <c r="LJ65" s="14">
        <v>5.7522970853166653</v>
      </c>
      <c r="LK65" s="14">
        <v>5.8836950191555539</v>
      </c>
      <c r="LL65" s="14">
        <v>6.5997260474700035</v>
      </c>
      <c r="LM65" s="14">
        <v>5.6561424729100063</v>
      </c>
      <c r="LN65" s="14">
        <v>6.0895787616099932</v>
      </c>
      <c r="LO65" s="14">
        <v>6.0857630692399951</v>
      </c>
      <c r="LP65" s="14">
        <v>6.0998107499999987</v>
      </c>
      <c r="LQ65" s="14">
        <v>6.2842048461100015</v>
      </c>
      <c r="LR65" s="14">
        <v>6.1565928884499996</v>
      </c>
      <c r="LS65" s="14">
        <v>6.1802028281866672</v>
      </c>
      <c r="LT65" s="14">
        <v>6.2070001875822234</v>
      </c>
      <c r="LU65" s="149"/>
    </row>
    <row r="66" spans="1:447" x14ac:dyDescent="0.3">
      <c r="A66" s="19" t="s">
        <v>49</v>
      </c>
      <c r="B66" s="19"/>
      <c r="C66" s="14"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4">
        <v>0</v>
      </c>
      <c r="T66" s="14">
        <v>0</v>
      </c>
      <c r="U66" s="14">
        <v>0</v>
      </c>
      <c r="V66" s="14">
        <v>0</v>
      </c>
      <c r="W66" s="14">
        <v>0</v>
      </c>
      <c r="X66" s="14">
        <v>0</v>
      </c>
      <c r="Y66" s="14">
        <v>0</v>
      </c>
      <c r="Z66" s="14">
        <v>0</v>
      </c>
      <c r="AA66" s="14">
        <v>0</v>
      </c>
      <c r="AB66" s="14">
        <v>0</v>
      </c>
      <c r="AC66" s="14">
        <v>0</v>
      </c>
      <c r="AD66" s="14">
        <v>0</v>
      </c>
      <c r="AE66" s="14">
        <v>0</v>
      </c>
      <c r="AF66" s="14">
        <v>0</v>
      </c>
      <c r="AG66" s="14">
        <v>0</v>
      </c>
      <c r="AH66" s="14">
        <v>0</v>
      </c>
      <c r="AI66" s="14">
        <v>0</v>
      </c>
      <c r="AJ66" s="14">
        <v>0</v>
      </c>
      <c r="AK66" s="14">
        <v>0</v>
      </c>
      <c r="AL66" s="14">
        <v>0</v>
      </c>
      <c r="AM66" s="14">
        <v>0</v>
      </c>
      <c r="AN66" s="14">
        <v>0</v>
      </c>
      <c r="AO66" s="14">
        <v>0</v>
      </c>
      <c r="AP66" s="14">
        <v>0</v>
      </c>
      <c r="AQ66" s="14">
        <v>0</v>
      </c>
      <c r="AR66" s="14">
        <v>0</v>
      </c>
      <c r="AS66" s="14">
        <v>0</v>
      </c>
      <c r="AT66" s="14">
        <v>0</v>
      </c>
      <c r="AU66" s="14">
        <v>0</v>
      </c>
      <c r="AV66" s="14">
        <v>0</v>
      </c>
      <c r="AW66" s="14">
        <v>0</v>
      </c>
      <c r="AX66" s="14">
        <v>0</v>
      </c>
      <c r="AY66" s="14">
        <v>0</v>
      </c>
      <c r="AZ66" s="14">
        <v>0</v>
      </c>
      <c r="BA66" s="14">
        <v>0</v>
      </c>
      <c r="BB66" s="14">
        <v>0</v>
      </c>
      <c r="BC66" s="14">
        <v>0</v>
      </c>
      <c r="BD66" s="14">
        <v>0</v>
      </c>
      <c r="BE66" s="14">
        <v>0</v>
      </c>
      <c r="BF66" s="14">
        <v>0</v>
      </c>
      <c r="BG66" s="14">
        <v>0</v>
      </c>
      <c r="BH66" s="14">
        <v>0</v>
      </c>
      <c r="BI66" s="14">
        <v>0</v>
      </c>
      <c r="BJ66" s="14">
        <v>0</v>
      </c>
      <c r="BK66" s="14">
        <v>0</v>
      </c>
      <c r="BL66" s="14">
        <v>0</v>
      </c>
      <c r="BM66" s="14">
        <v>0</v>
      </c>
      <c r="BN66" s="14">
        <v>0</v>
      </c>
      <c r="BO66" s="14">
        <v>0</v>
      </c>
      <c r="BP66" s="14">
        <v>0</v>
      </c>
      <c r="BQ66" s="14">
        <v>0</v>
      </c>
      <c r="BR66" s="14">
        <v>0</v>
      </c>
      <c r="BS66" s="14">
        <v>0</v>
      </c>
      <c r="BT66" s="14">
        <v>0</v>
      </c>
      <c r="BU66" s="14">
        <v>0</v>
      </c>
      <c r="BV66" s="14">
        <v>0</v>
      </c>
      <c r="BW66" s="14">
        <v>0</v>
      </c>
      <c r="BX66" s="14">
        <v>0</v>
      </c>
      <c r="BY66" s="14">
        <v>0</v>
      </c>
      <c r="BZ66" s="14">
        <v>0</v>
      </c>
      <c r="CA66" s="14">
        <v>0</v>
      </c>
      <c r="CB66" s="14">
        <v>0</v>
      </c>
      <c r="CC66" s="14">
        <v>0</v>
      </c>
      <c r="CD66" s="14">
        <v>0</v>
      </c>
      <c r="CE66" s="14">
        <v>0</v>
      </c>
      <c r="CF66" s="14">
        <v>0</v>
      </c>
      <c r="CG66" s="14">
        <v>0</v>
      </c>
      <c r="CH66" s="14">
        <v>0</v>
      </c>
      <c r="CI66" s="14">
        <v>0</v>
      </c>
      <c r="CJ66" s="14">
        <v>0</v>
      </c>
      <c r="CK66" s="14">
        <v>0</v>
      </c>
      <c r="CL66" s="14">
        <v>0</v>
      </c>
      <c r="CM66" s="14">
        <v>0</v>
      </c>
      <c r="CN66" s="14">
        <v>0</v>
      </c>
      <c r="CO66" s="14">
        <v>0</v>
      </c>
      <c r="CP66" s="14">
        <v>0</v>
      </c>
      <c r="CQ66" s="14">
        <v>0</v>
      </c>
      <c r="CR66" s="14">
        <v>0</v>
      </c>
      <c r="CS66" s="14">
        <v>0</v>
      </c>
      <c r="CT66" s="14">
        <v>0</v>
      </c>
      <c r="CU66" s="14">
        <v>0</v>
      </c>
      <c r="CV66" s="14">
        <v>0</v>
      </c>
      <c r="CW66" s="14">
        <v>0</v>
      </c>
      <c r="CX66" s="14">
        <v>0</v>
      </c>
      <c r="CY66" s="14">
        <v>0</v>
      </c>
      <c r="CZ66" s="14">
        <v>0</v>
      </c>
      <c r="DA66" s="14">
        <v>0</v>
      </c>
      <c r="DB66" s="14">
        <v>0</v>
      </c>
      <c r="DC66" s="14">
        <v>0</v>
      </c>
      <c r="DD66" s="14">
        <v>0</v>
      </c>
      <c r="DE66" s="14">
        <v>0</v>
      </c>
      <c r="DF66" s="14">
        <v>0</v>
      </c>
      <c r="DG66" s="14">
        <v>0</v>
      </c>
      <c r="DH66" s="14">
        <v>0</v>
      </c>
      <c r="DI66" s="14">
        <v>0</v>
      </c>
      <c r="DJ66" s="14">
        <v>0</v>
      </c>
      <c r="DK66" s="14">
        <v>0</v>
      </c>
      <c r="DL66" s="14">
        <v>0</v>
      </c>
      <c r="DM66" s="14">
        <v>0</v>
      </c>
      <c r="DN66" s="14">
        <v>0</v>
      </c>
      <c r="DO66" s="14">
        <v>0</v>
      </c>
      <c r="DP66" s="14">
        <v>0</v>
      </c>
      <c r="DQ66" s="14">
        <v>0</v>
      </c>
      <c r="DR66" s="14">
        <v>0</v>
      </c>
      <c r="DS66" s="14">
        <v>0</v>
      </c>
      <c r="DT66" s="14">
        <v>0</v>
      </c>
      <c r="DU66" s="14">
        <v>0</v>
      </c>
      <c r="DV66" s="14">
        <v>0</v>
      </c>
      <c r="DW66" s="14">
        <v>0</v>
      </c>
      <c r="DX66" s="14">
        <v>0</v>
      </c>
      <c r="DY66" s="14">
        <v>0</v>
      </c>
      <c r="DZ66" s="14">
        <v>0</v>
      </c>
      <c r="EA66" s="14">
        <v>0</v>
      </c>
      <c r="EB66" s="14">
        <v>0</v>
      </c>
      <c r="EC66" s="14">
        <v>0</v>
      </c>
      <c r="ED66" s="14">
        <v>0</v>
      </c>
      <c r="EE66" s="14">
        <v>0</v>
      </c>
      <c r="EF66" s="14">
        <v>0</v>
      </c>
      <c r="EG66" s="14">
        <v>0</v>
      </c>
      <c r="EH66" s="14">
        <v>0</v>
      </c>
      <c r="EI66" s="14">
        <v>0</v>
      </c>
      <c r="EJ66" s="14">
        <v>0</v>
      </c>
      <c r="EK66" s="14">
        <v>0.14302036803280815</v>
      </c>
      <c r="EL66" s="14">
        <v>0.15860958814838425</v>
      </c>
      <c r="EM66" s="14">
        <v>0.17589803325655815</v>
      </c>
      <c r="EN66" s="14">
        <v>0.19507091888152295</v>
      </c>
      <c r="EO66" s="14">
        <v>0.21633364903960897</v>
      </c>
      <c r="EP66" s="14">
        <v>0.23991401678492633</v>
      </c>
      <c r="EQ66" s="14">
        <v>0.29506569087746198</v>
      </c>
      <c r="ER66" s="14">
        <v>0.32722785118310532</v>
      </c>
      <c r="ES66" s="14">
        <v>0.36289568696206381</v>
      </c>
      <c r="ET66" s="14">
        <v>0.40245131684092872</v>
      </c>
      <c r="EU66" s="14">
        <v>0.44631851037658993</v>
      </c>
      <c r="EV66" s="14">
        <v>0.49496722800763826</v>
      </c>
      <c r="EW66" s="14">
        <v>0.54891865586047084</v>
      </c>
      <c r="EX66" s="14">
        <v>0.60875078934926197</v>
      </c>
      <c r="EY66" s="14">
        <v>0.67510462538833149</v>
      </c>
      <c r="EZ66" s="14">
        <v>0.74869102955565958</v>
      </c>
      <c r="FA66" s="14">
        <v>0.83029835177722644</v>
      </c>
      <c r="FB66" s="14">
        <v>0.92080087212094419</v>
      </c>
      <c r="FC66" s="14">
        <v>1.0211681671821271</v>
      </c>
      <c r="FD66" s="14">
        <v>1.1324754974049789</v>
      </c>
      <c r="FE66" s="14">
        <v>1.2559153266221217</v>
      </c>
      <c r="FF66" s="14">
        <v>1.3928100972239328</v>
      </c>
      <c r="FG66" s="14">
        <v>1.5446263978213415</v>
      </c>
      <c r="FH66" s="14">
        <v>1.7129906751838675</v>
      </c>
      <c r="FI66" s="14">
        <v>2.23827994</v>
      </c>
      <c r="FJ66" s="14">
        <v>2.34427495</v>
      </c>
      <c r="FK66" s="14">
        <v>2.1393480600000001</v>
      </c>
      <c r="FL66" s="14">
        <v>2.97211369</v>
      </c>
      <c r="FM66" s="14">
        <v>3.8048590799999999</v>
      </c>
      <c r="FN66" s="14">
        <v>3.1774516400000001</v>
      </c>
      <c r="FO66" s="14">
        <v>3.2991146699999998</v>
      </c>
      <c r="FP66" s="14">
        <v>3.05584977</v>
      </c>
      <c r="FQ66" s="14">
        <v>2.8125991699999999</v>
      </c>
      <c r="FR66" s="14">
        <v>4.0269921800000006</v>
      </c>
      <c r="FS66" s="14">
        <v>4.07396928</v>
      </c>
      <c r="FT66" s="14">
        <v>4.4070758799999998</v>
      </c>
      <c r="FU66" s="14">
        <v>1.0492344499999999</v>
      </c>
      <c r="FV66" s="14">
        <v>1.3998774899999999</v>
      </c>
      <c r="FW66" s="14">
        <v>1.7505204599999999</v>
      </c>
      <c r="FX66" s="14">
        <v>2.52106743</v>
      </c>
      <c r="FY66" s="14">
        <v>3.2916120099999997</v>
      </c>
      <c r="FZ66" s="14">
        <v>2.9683048999999997</v>
      </c>
      <c r="GA66" s="14">
        <v>3.36270691</v>
      </c>
      <c r="GB66" s="14">
        <v>2.9541104900000001</v>
      </c>
      <c r="GC66" s="14">
        <v>2.5455106000000001</v>
      </c>
      <c r="GD66" s="14">
        <v>3.05236098</v>
      </c>
      <c r="GE66" s="14">
        <v>3.5592084500000003</v>
      </c>
      <c r="GF66" s="14">
        <v>4.9840781600000001</v>
      </c>
      <c r="GG66" s="14">
        <v>0.87371441976000008</v>
      </c>
      <c r="GH66" s="14">
        <v>2.3936367014000002</v>
      </c>
      <c r="GI66" s="14">
        <v>2.1149639691600002</v>
      </c>
      <c r="GJ66" s="14">
        <v>2.3384766157200003</v>
      </c>
      <c r="GK66" s="14">
        <v>2.6486114734800004</v>
      </c>
      <c r="GL66" s="14">
        <v>3.8902063502400002</v>
      </c>
      <c r="GM66" s="14">
        <v>3.7476819625081199</v>
      </c>
      <c r="GN66" s="14">
        <v>3.4537523590163994</v>
      </c>
      <c r="GO66" s="14">
        <v>2.43103384881924</v>
      </c>
      <c r="GP66" s="14">
        <v>2.833108437583761</v>
      </c>
      <c r="GQ66" s="14">
        <v>3.6864516555160005</v>
      </c>
      <c r="GR66" s="14">
        <v>4.8780738232385605</v>
      </c>
      <c r="GS66" s="14">
        <v>3.3349444644684008</v>
      </c>
      <c r="GT66" s="14">
        <v>2.5690745877210404</v>
      </c>
      <c r="GU66" s="14">
        <v>3.0072581495804411</v>
      </c>
      <c r="GV66" s="14">
        <v>2.6649530525433227</v>
      </c>
      <c r="GW66" s="14">
        <v>3.7680320123187006</v>
      </c>
      <c r="GX66" s="14">
        <v>5.5630167791181186</v>
      </c>
      <c r="GY66" s="14">
        <v>3.7517587290857821</v>
      </c>
      <c r="GZ66" s="14">
        <v>3.9239648849182647</v>
      </c>
      <c r="HA66" s="14">
        <v>3.9031262174570358</v>
      </c>
      <c r="HB66" s="14">
        <v>2.5210400259921801</v>
      </c>
      <c r="HC66" s="14">
        <v>2.3075743483323987</v>
      </c>
      <c r="HD66" s="14">
        <v>1.3852508694057606</v>
      </c>
      <c r="HE66" s="14">
        <v>3.7175681787800001</v>
      </c>
      <c r="HF66" s="14">
        <v>2.2997819765500003</v>
      </c>
      <c r="HG66" s="14">
        <v>3.4390511864300004</v>
      </c>
      <c r="HH66" s="14">
        <v>3.4314376943299996</v>
      </c>
      <c r="HI66" s="14">
        <v>3.2092496849900001</v>
      </c>
      <c r="HJ66" s="14">
        <v>3.3948124579800001</v>
      </c>
      <c r="HK66" s="14">
        <v>3.2632605154299994</v>
      </c>
      <c r="HL66" s="14">
        <v>3.4212437888</v>
      </c>
      <c r="HM66" s="14">
        <v>3.6571355382300004</v>
      </c>
      <c r="HN66" s="14">
        <v>4.4252364712200007</v>
      </c>
      <c r="HO66" s="14">
        <v>3.78634305304</v>
      </c>
      <c r="HP66" s="14">
        <v>4.424294045059999</v>
      </c>
      <c r="HQ66" s="14">
        <v>5.0383218699999999</v>
      </c>
      <c r="HR66" s="14">
        <v>3.5828512000000003</v>
      </c>
      <c r="HS66" s="14">
        <v>3.4008310000000002</v>
      </c>
      <c r="HT66" s="14">
        <v>3.21880977</v>
      </c>
      <c r="HU66" s="14">
        <v>3.37594013</v>
      </c>
      <c r="HV66" s="14">
        <v>3.4375332799999998</v>
      </c>
      <c r="HW66" s="14">
        <v>3.0297563100000002</v>
      </c>
      <c r="HX66" s="14">
        <v>3.2749994999999998</v>
      </c>
      <c r="HY66" s="14">
        <v>2.9900252200000002</v>
      </c>
      <c r="HZ66" s="14">
        <v>3.0928285799999999</v>
      </c>
      <c r="IA66" s="14">
        <v>3.3808558799999999</v>
      </c>
      <c r="IB66" s="14">
        <v>3.2552724999999998</v>
      </c>
      <c r="IC66" s="14">
        <v>2.340314890000001</v>
      </c>
      <c r="ID66" s="14">
        <v>2.5312662699999984</v>
      </c>
      <c r="IE66" s="14">
        <v>2.7997249699999931</v>
      </c>
      <c r="IF66" s="14">
        <v>2.1288760900000021</v>
      </c>
      <c r="IG66" s="14">
        <v>2.7666964300000014</v>
      </c>
      <c r="IH66" s="14">
        <v>2.7880559000000007</v>
      </c>
      <c r="II66" s="14">
        <v>2.1143499699999975</v>
      </c>
      <c r="IJ66" s="14">
        <v>1.9463483699999973</v>
      </c>
      <c r="IK66" s="14">
        <v>1.4983304700000004</v>
      </c>
      <c r="IL66" s="14">
        <v>1.8047823899999997</v>
      </c>
      <c r="IM66" s="14">
        <v>2.38042752</v>
      </c>
      <c r="IN66" s="14">
        <v>2.4296022800000006</v>
      </c>
      <c r="IO66" s="14">
        <v>2.6934140899999992</v>
      </c>
      <c r="IP66" s="14">
        <v>2.5294600900000006</v>
      </c>
      <c r="IQ66" s="14">
        <v>3.1377093400000016</v>
      </c>
      <c r="IR66" s="14">
        <v>3.3732532100000006</v>
      </c>
      <c r="IS66" s="14">
        <v>3.8814127999999961</v>
      </c>
      <c r="IT66" s="14">
        <v>2.7610860200000009</v>
      </c>
      <c r="IU66" s="14">
        <v>2.8735560900000015</v>
      </c>
      <c r="IV66" s="14">
        <v>2.9884212100000007</v>
      </c>
      <c r="IW66" s="14">
        <v>3.0634631800000003</v>
      </c>
      <c r="IX66" s="14">
        <v>3.2534101199999954</v>
      </c>
      <c r="IY66" s="14">
        <v>3.3006325100000016</v>
      </c>
      <c r="IZ66" s="14">
        <v>4.0682769499999987</v>
      </c>
      <c r="JA66" s="14">
        <v>3.2614868999999982</v>
      </c>
      <c r="JB66" s="14">
        <v>3.2068614799999979</v>
      </c>
      <c r="JC66" s="14">
        <v>3.0130960899999986</v>
      </c>
      <c r="JD66" s="14">
        <v>3.1606101999999994</v>
      </c>
      <c r="JE66" s="14">
        <v>3.9099110800000028</v>
      </c>
      <c r="JF66" s="14">
        <v>3.797255539999997</v>
      </c>
      <c r="JG66" s="14">
        <v>3.1526295848499983</v>
      </c>
      <c r="JH66" s="14">
        <v>2.5080036297000006</v>
      </c>
      <c r="JI66" s="14">
        <v>1.7444590511299993</v>
      </c>
      <c r="JJ66" s="14">
        <v>1.8368499100000004</v>
      </c>
      <c r="JK66" s="14">
        <v>2.0316218501000001</v>
      </c>
      <c r="JL66" s="14">
        <v>2.3901491199999998</v>
      </c>
      <c r="JM66" s="14">
        <v>2.19554385033</v>
      </c>
      <c r="JN66" s="14">
        <v>2.0000580970399997</v>
      </c>
      <c r="JO66" s="14">
        <v>2.5193227784799999</v>
      </c>
      <c r="JP66" s="14">
        <v>4.6871643358100021</v>
      </c>
      <c r="JQ66" s="14">
        <v>5.3487808056100015</v>
      </c>
      <c r="JR66" s="14">
        <v>5.453602043280001</v>
      </c>
      <c r="JS66" s="14">
        <v>3.9104100912699984</v>
      </c>
      <c r="JT66" s="14">
        <v>1.9032136558000003</v>
      </c>
      <c r="JU66" s="14">
        <v>2.0910921089099994</v>
      </c>
      <c r="JV66" s="14">
        <v>2.2295790285499999</v>
      </c>
      <c r="JW66" s="14">
        <v>2.2191898163799997</v>
      </c>
      <c r="JX66" s="14">
        <v>2.71957711688</v>
      </c>
      <c r="JY66" s="14">
        <v>3.8451646906999986</v>
      </c>
      <c r="JZ66" s="14">
        <v>3.3751099574799999</v>
      </c>
      <c r="KA66" s="14">
        <v>4.4443472105000001</v>
      </c>
      <c r="KB66" s="14">
        <v>4.4548398757500003</v>
      </c>
      <c r="KC66" s="14">
        <v>5.6032187036800023</v>
      </c>
      <c r="KD66" s="14">
        <v>5.1141906213700024</v>
      </c>
      <c r="KE66" s="14">
        <v>3.1868028602100007</v>
      </c>
      <c r="KF66" s="14">
        <v>2.9416008013200003</v>
      </c>
      <c r="KG66" s="14">
        <v>2.4793470518899996</v>
      </c>
      <c r="KH66" s="14">
        <v>2.9295089081299999</v>
      </c>
      <c r="KI66" s="14">
        <v>3.0382283070599989</v>
      </c>
      <c r="KJ66" s="14">
        <v>2.9698193551899972</v>
      </c>
      <c r="KK66" s="14">
        <v>3.1090447320200005</v>
      </c>
      <c r="KL66" s="14">
        <v>3.21524069111</v>
      </c>
      <c r="KM66" s="14">
        <v>3.0186041920459648</v>
      </c>
      <c r="KN66" s="14">
        <v>4.3630974215453788</v>
      </c>
      <c r="KO66" s="14">
        <v>4.4273408459100025</v>
      </c>
      <c r="KP66" s="14">
        <v>4.6975431936000023</v>
      </c>
      <c r="KQ66" s="14">
        <v>3.5496944604500014</v>
      </c>
      <c r="KR66" s="14">
        <v>3.2945680498600001</v>
      </c>
      <c r="KS66" s="14">
        <v>3.1775439846599998</v>
      </c>
      <c r="KT66" s="14">
        <v>3.0507551624999998</v>
      </c>
      <c r="KU66" s="14">
        <v>3.2380145528000006</v>
      </c>
      <c r="KV66" s="14">
        <v>2.9636370935999992</v>
      </c>
      <c r="KW66" s="14">
        <v>3.1844545590199997</v>
      </c>
      <c r="KX66" s="14">
        <v>2.7406532172400015</v>
      </c>
      <c r="KY66" s="14">
        <v>2.6777879945699996</v>
      </c>
      <c r="KZ66" s="14">
        <v>3.1842912121000002</v>
      </c>
      <c r="LA66" s="14">
        <v>2.9013602104899996</v>
      </c>
      <c r="LB66" s="14">
        <v>3.0176948695299992</v>
      </c>
      <c r="LC66" s="14">
        <v>2.1501569956099997</v>
      </c>
      <c r="LD66" s="14">
        <v>2.8998413987650005</v>
      </c>
      <c r="LE66" s="14">
        <v>3.6495258019200008</v>
      </c>
      <c r="LF66" s="14">
        <v>5.2651960707199974</v>
      </c>
      <c r="LG66" s="14">
        <v>4.3621453115</v>
      </c>
      <c r="LH66" s="14">
        <v>4.3780717637800013</v>
      </c>
      <c r="LI66" s="14">
        <v>4.6684710486666665</v>
      </c>
      <c r="LJ66" s="14">
        <v>4.4695627079822229</v>
      </c>
      <c r="LK66" s="14">
        <v>4.5053685068096305</v>
      </c>
      <c r="LL66" s="14">
        <v>4.0715698277099985</v>
      </c>
      <c r="LM66" s="14">
        <v>2.9774318744199992</v>
      </c>
      <c r="LN66" s="14">
        <v>3.1000797314999988</v>
      </c>
      <c r="LO66" s="14">
        <v>3.3161277220600009</v>
      </c>
      <c r="LP66" s="14">
        <v>3.3506103399999994</v>
      </c>
      <c r="LQ66" s="14">
        <v>2.6481575038900007</v>
      </c>
      <c r="LR66" s="14">
        <v>3.1049651886500005</v>
      </c>
      <c r="LS66" s="14">
        <v>3.0345776775133335</v>
      </c>
      <c r="LT66" s="14">
        <v>2.9292334566844445</v>
      </c>
      <c r="LU66" s="149"/>
    </row>
    <row r="67" spans="1:447" x14ac:dyDescent="0.3">
      <c r="A67" s="19" t="s">
        <v>50</v>
      </c>
      <c r="B67" s="19"/>
      <c r="C67" s="14">
        <v>0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4">
        <v>0</v>
      </c>
      <c r="T67" s="14">
        <v>0</v>
      </c>
      <c r="U67" s="14">
        <v>0</v>
      </c>
      <c r="V67" s="14">
        <v>0</v>
      </c>
      <c r="W67" s="14">
        <v>0</v>
      </c>
      <c r="X67" s="14">
        <v>0</v>
      </c>
      <c r="Y67" s="14">
        <v>0</v>
      </c>
      <c r="Z67" s="14">
        <v>0</v>
      </c>
      <c r="AA67" s="14">
        <v>0</v>
      </c>
      <c r="AB67" s="14">
        <v>0</v>
      </c>
      <c r="AC67" s="14">
        <v>0</v>
      </c>
      <c r="AD67" s="14">
        <v>0</v>
      </c>
      <c r="AE67" s="14">
        <v>0</v>
      </c>
      <c r="AF67" s="14">
        <v>0</v>
      </c>
      <c r="AG67" s="14">
        <v>0</v>
      </c>
      <c r="AH67" s="14">
        <v>0</v>
      </c>
      <c r="AI67" s="14">
        <v>0</v>
      </c>
      <c r="AJ67" s="14">
        <v>0</v>
      </c>
      <c r="AK67" s="14">
        <v>0</v>
      </c>
      <c r="AL67" s="14">
        <v>0</v>
      </c>
      <c r="AM67" s="14">
        <v>0</v>
      </c>
      <c r="AN67" s="14">
        <v>0</v>
      </c>
      <c r="AO67" s="14">
        <v>0</v>
      </c>
      <c r="AP67" s="14">
        <v>0</v>
      </c>
      <c r="AQ67" s="14">
        <v>0</v>
      </c>
      <c r="AR67" s="14">
        <v>0</v>
      </c>
      <c r="AS67" s="14">
        <v>0</v>
      </c>
      <c r="AT67" s="14">
        <v>0</v>
      </c>
      <c r="AU67" s="14">
        <v>0</v>
      </c>
      <c r="AV67" s="14">
        <v>0</v>
      </c>
      <c r="AW67" s="14">
        <v>0</v>
      </c>
      <c r="AX67" s="14">
        <v>0</v>
      </c>
      <c r="AY67" s="14">
        <v>0</v>
      </c>
      <c r="AZ67" s="14">
        <v>0</v>
      </c>
      <c r="BA67" s="14">
        <v>0</v>
      </c>
      <c r="BB67" s="14">
        <v>0</v>
      </c>
      <c r="BC67" s="14">
        <v>0</v>
      </c>
      <c r="BD67" s="14">
        <v>0</v>
      </c>
      <c r="BE67" s="14">
        <v>0</v>
      </c>
      <c r="BF67" s="14">
        <v>0</v>
      </c>
      <c r="BG67" s="14">
        <v>0</v>
      </c>
      <c r="BH67" s="14">
        <v>0</v>
      </c>
      <c r="BI67" s="14">
        <v>0</v>
      </c>
      <c r="BJ67" s="14">
        <v>0</v>
      </c>
      <c r="BK67" s="14">
        <v>0</v>
      </c>
      <c r="BL67" s="14">
        <v>0</v>
      </c>
      <c r="BM67" s="14">
        <v>0</v>
      </c>
      <c r="BN67" s="14">
        <v>0</v>
      </c>
      <c r="BO67" s="14">
        <v>0</v>
      </c>
      <c r="BP67" s="14">
        <v>0</v>
      </c>
      <c r="BQ67" s="14">
        <v>0</v>
      </c>
      <c r="BR67" s="14">
        <v>0</v>
      </c>
      <c r="BS67" s="14">
        <v>0</v>
      </c>
      <c r="BT67" s="14">
        <v>0</v>
      </c>
      <c r="BU67" s="14">
        <v>0</v>
      </c>
      <c r="BV67" s="14">
        <v>0</v>
      </c>
      <c r="BW67" s="14">
        <v>0</v>
      </c>
      <c r="BX67" s="14">
        <v>0</v>
      </c>
      <c r="BY67" s="14">
        <v>0</v>
      </c>
      <c r="BZ67" s="14">
        <v>0</v>
      </c>
      <c r="CA67" s="14">
        <v>0</v>
      </c>
      <c r="CB67" s="14">
        <v>0</v>
      </c>
      <c r="CC67" s="14">
        <v>0</v>
      </c>
      <c r="CD67" s="14">
        <v>0</v>
      </c>
      <c r="CE67" s="14">
        <v>0</v>
      </c>
      <c r="CF67" s="14">
        <v>0</v>
      </c>
      <c r="CG67" s="14">
        <v>0</v>
      </c>
      <c r="CH67" s="14">
        <v>0</v>
      </c>
      <c r="CI67" s="14">
        <v>0</v>
      </c>
      <c r="CJ67" s="14">
        <v>0</v>
      </c>
      <c r="CK67" s="14">
        <v>0</v>
      </c>
      <c r="CL67" s="14">
        <v>0</v>
      </c>
      <c r="CM67" s="14">
        <v>0</v>
      </c>
      <c r="CN67" s="14">
        <v>0</v>
      </c>
      <c r="CO67" s="14">
        <v>0</v>
      </c>
      <c r="CP67" s="14">
        <v>0</v>
      </c>
      <c r="CQ67" s="14">
        <v>0</v>
      </c>
      <c r="CR67" s="14">
        <v>0</v>
      </c>
      <c r="CS67" s="14">
        <v>0</v>
      </c>
      <c r="CT67" s="14">
        <v>0</v>
      </c>
      <c r="CU67" s="14">
        <v>0</v>
      </c>
      <c r="CV67" s="14">
        <v>0</v>
      </c>
      <c r="CW67" s="14">
        <v>0</v>
      </c>
      <c r="CX67" s="14">
        <v>0</v>
      </c>
      <c r="CY67" s="14">
        <v>0</v>
      </c>
      <c r="CZ67" s="14">
        <v>0</v>
      </c>
      <c r="DA67" s="14">
        <v>0</v>
      </c>
      <c r="DB67" s="14">
        <v>0</v>
      </c>
      <c r="DC67" s="14">
        <v>0</v>
      </c>
      <c r="DD67" s="14">
        <v>0</v>
      </c>
      <c r="DE67" s="14">
        <v>0</v>
      </c>
      <c r="DF67" s="14">
        <v>0</v>
      </c>
      <c r="DG67" s="14">
        <v>0</v>
      </c>
      <c r="DH67" s="14">
        <v>0</v>
      </c>
      <c r="DI67" s="14">
        <v>0</v>
      </c>
      <c r="DJ67" s="14">
        <v>0</v>
      </c>
      <c r="DK67" s="14">
        <v>0</v>
      </c>
      <c r="DL67" s="14">
        <v>0</v>
      </c>
      <c r="DM67" s="14">
        <v>0</v>
      </c>
      <c r="DN67" s="14">
        <v>0</v>
      </c>
      <c r="DO67" s="14">
        <v>0</v>
      </c>
      <c r="DP67" s="14">
        <v>0</v>
      </c>
      <c r="DQ67" s="14">
        <v>0</v>
      </c>
      <c r="DR67" s="14">
        <v>0</v>
      </c>
      <c r="DS67" s="14">
        <v>0</v>
      </c>
      <c r="DT67" s="14">
        <v>0</v>
      </c>
      <c r="DU67" s="14">
        <v>0</v>
      </c>
      <c r="DV67" s="14">
        <v>0</v>
      </c>
      <c r="DW67" s="14">
        <v>0</v>
      </c>
      <c r="DX67" s="14">
        <v>0</v>
      </c>
      <c r="DY67" s="14">
        <v>0</v>
      </c>
      <c r="DZ67" s="14">
        <v>0</v>
      </c>
      <c r="EA67" s="14">
        <v>0</v>
      </c>
      <c r="EB67" s="14">
        <v>0</v>
      </c>
      <c r="EC67" s="14">
        <v>0</v>
      </c>
      <c r="ED67" s="14">
        <v>0</v>
      </c>
      <c r="EE67" s="14">
        <v>0</v>
      </c>
      <c r="EF67" s="14">
        <v>0</v>
      </c>
      <c r="EG67" s="14">
        <v>0</v>
      </c>
      <c r="EH67" s="14">
        <v>0</v>
      </c>
      <c r="EI67" s="14">
        <v>0</v>
      </c>
      <c r="EJ67" s="14">
        <v>0</v>
      </c>
      <c r="EK67" s="14">
        <v>0.31918378317529755</v>
      </c>
      <c r="EL67" s="14">
        <v>0.35397481554140503</v>
      </c>
      <c r="EM67" s="14">
        <v>0.39255807043541813</v>
      </c>
      <c r="EN67" s="14">
        <v>0.43534690011287869</v>
      </c>
      <c r="EO67" s="14">
        <v>0.48279971222518248</v>
      </c>
      <c r="EP67" s="14">
        <v>0.53542488085772733</v>
      </c>
      <c r="EQ67" s="14">
        <v>0.6585088878941826</v>
      </c>
      <c r="ER67" s="14">
        <v>0.73028635667464847</v>
      </c>
      <c r="ES67" s="14">
        <v>0.8098875695521851</v>
      </c>
      <c r="ET67" s="14">
        <v>0.89816531463337324</v>
      </c>
      <c r="EU67" s="14">
        <v>0.9960653339284109</v>
      </c>
      <c r="EV67" s="14">
        <v>1.1046364553266077</v>
      </c>
      <c r="EW67" s="14">
        <v>1.2250418289572076</v>
      </c>
      <c r="EX67" s="14">
        <v>1.3585713883135431</v>
      </c>
      <c r="EY67" s="14">
        <v>1.5066556696397193</v>
      </c>
      <c r="EZ67" s="14">
        <v>1.6708811376304487</v>
      </c>
      <c r="FA67" s="14">
        <v>1.8530071816321674</v>
      </c>
      <c r="FB67" s="14">
        <v>2.0549849644300737</v>
      </c>
      <c r="FC67" s="14">
        <v>2.2789783255529517</v>
      </c>
      <c r="FD67" s="14">
        <v>2.5273869630382233</v>
      </c>
      <c r="FE67" s="14">
        <v>2.8028721420093898</v>
      </c>
      <c r="FF67" s="14">
        <v>3.1083852054884131</v>
      </c>
      <c r="FG67" s="14">
        <v>3.4471991928866501</v>
      </c>
      <c r="FH67" s="14">
        <v>3.8229439049112948</v>
      </c>
      <c r="FI67" s="14">
        <v>2.7586540099999999</v>
      </c>
      <c r="FJ67" s="14">
        <v>2.8892908500000001</v>
      </c>
      <c r="FK67" s="14">
        <v>2.6892207200000002</v>
      </c>
      <c r="FL67" s="14">
        <v>3.65143021</v>
      </c>
      <c r="FM67" s="14">
        <v>4.6137142999999998</v>
      </c>
      <c r="FN67" s="14">
        <v>3.7377311200000003</v>
      </c>
      <c r="FO67" s="14">
        <v>3.8808472300000001</v>
      </c>
      <c r="FP67" s="14">
        <v>5.9847679800000009</v>
      </c>
      <c r="FQ67" s="14">
        <v>8.0886701900000002</v>
      </c>
      <c r="FR67" s="14">
        <v>10.175542439999999</v>
      </c>
      <c r="FS67" s="14">
        <v>9.1497158200000008</v>
      </c>
      <c r="FT67" s="14">
        <v>15.065264529999999</v>
      </c>
      <c r="FU67" s="14">
        <v>2.9667187500000001</v>
      </c>
      <c r="FV67" s="14">
        <v>3.9581154600000001</v>
      </c>
      <c r="FW67" s="14">
        <v>4.9495062000000001</v>
      </c>
      <c r="FX67" s="14">
        <v>6.9382602800000006</v>
      </c>
      <c r="FY67" s="14">
        <v>8.9267717599999994</v>
      </c>
      <c r="FZ67" s="14">
        <v>8.9268275799999994</v>
      </c>
      <c r="GA67" s="14">
        <v>10.1129838</v>
      </c>
      <c r="GB67" s="14">
        <v>11.61078882</v>
      </c>
      <c r="GC67" s="14">
        <v>13.108059800000001</v>
      </c>
      <c r="GD67" s="14">
        <v>13.368161300000001</v>
      </c>
      <c r="GE67" s="14">
        <v>13.62819107</v>
      </c>
      <c r="GF67" s="14">
        <v>19.08401005</v>
      </c>
      <c r="GG67" s="14">
        <v>11.511444030519984</v>
      </c>
      <c r="GH67" s="14">
        <v>16.656231094440006</v>
      </c>
      <c r="GI67" s="14">
        <v>14.716964705240001</v>
      </c>
      <c r="GJ67" s="14">
        <v>10.60560301752</v>
      </c>
      <c r="GK67" s="14">
        <v>12.012147233239993</v>
      </c>
      <c r="GL67" s="14">
        <v>13.181414387399993</v>
      </c>
      <c r="GM67" s="14">
        <v>19.980773784747168</v>
      </c>
      <c r="GN67" s="14">
        <v>24.743039034100835</v>
      </c>
      <c r="GO67" s="14">
        <v>23.213976226216158</v>
      </c>
      <c r="GP67" s="14">
        <v>30.18659842032157</v>
      </c>
      <c r="GQ67" s="14">
        <v>51.231256128697304</v>
      </c>
      <c r="GR67" s="14">
        <v>80.445187899475442</v>
      </c>
      <c r="GS67" s="14">
        <v>40.221892576828914</v>
      </c>
      <c r="GT67" s="14">
        <v>34.643632490250006</v>
      </c>
      <c r="GU67" s="14">
        <v>32.379133491902252</v>
      </c>
      <c r="GV67" s="14">
        <v>33.671599254498481</v>
      </c>
      <c r="GW67" s="14">
        <v>31.44756041980397</v>
      </c>
      <c r="GX67" s="14">
        <v>30.769973190957099</v>
      </c>
      <c r="GY67" s="14">
        <v>34.418603997620139</v>
      </c>
      <c r="GZ67" s="14">
        <v>34.612532233939312</v>
      </c>
      <c r="HA67" s="14">
        <v>29.476856776541144</v>
      </c>
      <c r="HB67" s="14">
        <v>37.008852599381314</v>
      </c>
      <c r="HC67" s="14">
        <v>37.319284187643269</v>
      </c>
      <c r="HD67" s="14">
        <v>35.208500751936029</v>
      </c>
      <c r="HE67" s="14">
        <v>49.077363941240073</v>
      </c>
      <c r="HF67" s="14">
        <v>40.333666456760078</v>
      </c>
      <c r="HG67" s="14">
        <v>43.201432355599906</v>
      </c>
      <c r="HH67" s="14">
        <v>55.275976455170088</v>
      </c>
      <c r="HI67" s="14">
        <v>57.869036657349888</v>
      </c>
      <c r="HJ67" s="14">
        <v>43.339462823930141</v>
      </c>
      <c r="HK67" s="14">
        <v>42.870138385519979</v>
      </c>
      <c r="HL67" s="14">
        <v>43.46868632484022</v>
      </c>
      <c r="HM67" s="14">
        <v>44.42766441623013</v>
      </c>
      <c r="HN67" s="14">
        <v>53.297422658079959</v>
      </c>
      <c r="HO67" s="14">
        <v>54.396968258610009</v>
      </c>
      <c r="HP67" s="14">
        <v>70.207303718320119</v>
      </c>
      <c r="HQ67" s="14">
        <v>47.088646149999995</v>
      </c>
      <c r="HR67" s="14">
        <v>36.366233000000001</v>
      </c>
      <c r="HS67" s="14">
        <v>31.439568999999999</v>
      </c>
      <c r="HT67" s="14">
        <v>26.512905700000299</v>
      </c>
      <c r="HU67" s="14">
        <v>24.5440170799999</v>
      </c>
      <c r="HV67" s="14">
        <v>22.4587268399994</v>
      </c>
      <c r="HW67" s="14">
        <v>24.496925109999701</v>
      </c>
      <c r="HX67" s="14">
        <v>29.698803000000002</v>
      </c>
      <c r="HY67" s="14">
        <v>27.128176179999798</v>
      </c>
      <c r="HZ67" s="14">
        <v>26.76566085</v>
      </c>
      <c r="IA67" s="14">
        <v>30.692018659999999</v>
      </c>
      <c r="IB67" s="14">
        <v>30.190214999999998</v>
      </c>
      <c r="IC67" s="14">
        <v>20.18532618999971</v>
      </c>
      <c r="ID67" s="14">
        <v>19.024677640000093</v>
      </c>
      <c r="IE67" s="14">
        <v>15.515811099999452</v>
      </c>
      <c r="IF67" s="14">
        <v>14.004297450000127</v>
      </c>
      <c r="IG67" s="14">
        <v>18.75637544030992</v>
      </c>
      <c r="IH67" s="14">
        <v>21.542528519999692</v>
      </c>
      <c r="II67" s="14">
        <v>22.19508610999965</v>
      </c>
      <c r="IJ67" s="14">
        <v>25.580295799999728</v>
      </c>
      <c r="IK67" s="14">
        <v>19.450005310000162</v>
      </c>
      <c r="IL67" s="14">
        <v>15.5420271100002</v>
      </c>
      <c r="IM67" s="14">
        <v>16.625821890000299</v>
      </c>
      <c r="IN67" s="14">
        <v>19.716458080001075</v>
      </c>
      <c r="IO67" s="14">
        <v>19.195018560000172</v>
      </c>
      <c r="IP67" s="14">
        <v>16.308448539999411</v>
      </c>
      <c r="IQ67" s="14">
        <v>21.838622840000138</v>
      </c>
      <c r="IR67" s="14">
        <v>22.316413010000144</v>
      </c>
      <c r="IS67" s="14">
        <v>21.922797329999664</v>
      </c>
      <c r="IT67" s="14">
        <v>20.333721379999545</v>
      </c>
      <c r="IU67" s="14">
        <v>17.793568250000519</v>
      </c>
      <c r="IV67" s="14">
        <v>24.610822959999975</v>
      </c>
      <c r="IW67" s="14">
        <v>24.27545430999993</v>
      </c>
      <c r="IX67" s="14">
        <v>23.383498635500295</v>
      </c>
      <c r="IY67" s="14">
        <v>23.303953179999976</v>
      </c>
      <c r="IZ67" s="14">
        <v>28.106733110000878</v>
      </c>
      <c r="JA67" s="14">
        <v>23.284848960000367</v>
      </c>
      <c r="JB67" s="14">
        <v>18.198758430000098</v>
      </c>
      <c r="JC67" s="14">
        <v>18.737117819999842</v>
      </c>
      <c r="JD67" s="14">
        <v>19.124591699999954</v>
      </c>
      <c r="JE67" s="14">
        <v>22.132342790000603</v>
      </c>
      <c r="JF67" s="14">
        <v>17.236608899999982</v>
      </c>
      <c r="JG67" s="14">
        <v>20.780538712344974</v>
      </c>
      <c r="JH67" s="14">
        <v>24.324468524689966</v>
      </c>
      <c r="JI67" s="14">
        <v>23.463872455499967</v>
      </c>
      <c r="JJ67" s="14">
        <v>20.38693863310144</v>
      </c>
      <c r="JK67" s="14">
        <v>20.938300316399854</v>
      </c>
      <c r="JL67" s="14">
        <v>20.709454959999583</v>
      </c>
      <c r="JM67" s="14">
        <v>17.763210769179977</v>
      </c>
      <c r="JN67" s="14">
        <v>15.009955655560013</v>
      </c>
      <c r="JO67" s="14">
        <v>18.091649808940019</v>
      </c>
      <c r="JP67" s="14">
        <v>15.454846096759994</v>
      </c>
      <c r="JQ67" s="14">
        <v>18.189739444460002</v>
      </c>
      <c r="JR67" s="14">
        <v>17.341982885669999</v>
      </c>
      <c r="JS67" s="14">
        <v>18.31886728603002</v>
      </c>
      <c r="JT67" s="14">
        <v>21.119781945149999</v>
      </c>
      <c r="JU67" s="14">
        <v>18.519411450540009</v>
      </c>
      <c r="JV67" s="14">
        <v>19.465711765689981</v>
      </c>
      <c r="JW67" s="14">
        <v>24.114790181999975</v>
      </c>
      <c r="JX67" s="14">
        <v>30.840840963649988</v>
      </c>
      <c r="JY67" s="14">
        <v>18.664413705409981</v>
      </c>
      <c r="JZ67" s="14">
        <v>19.100036315920004</v>
      </c>
      <c r="KA67" s="14">
        <v>21.15742805705996</v>
      </c>
      <c r="KB67" s="14">
        <v>20.824504262400016</v>
      </c>
      <c r="KC67" s="14">
        <v>23.879198469419979</v>
      </c>
      <c r="KD67" s="14">
        <v>25.312752990509988</v>
      </c>
      <c r="KE67" s="14">
        <v>19.323677545759978</v>
      </c>
      <c r="KF67" s="14">
        <v>22.319094460550001</v>
      </c>
      <c r="KG67" s="14">
        <v>18.665149146300003</v>
      </c>
      <c r="KH67" s="14">
        <v>17.697535155110018</v>
      </c>
      <c r="KI67" s="14">
        <v>16.516880636999986</v>
      </c>
      <c r="KJ67" s="14">
        <v>25.057813236309993</v>
      </c>
      <c r="KK67" s="14">
        <v>21.720252136630013</v>
      </c>
      <c r="KL67" s="14">
        <v>23.095607607280037</v>
      </c>
      <c r="KM67" s="14">
        <v>21.588596481860868</v>
      </c>
      <c r="KN67" s="14">
        <v>21.132372112146218</v>
      </c>
      <c r="KO67" s="14">
        <v>19.934672483789992</v>
      </c>
      <c r="KP67" s="14">
        <v>23.855485073509985</v>
      </c>
      <c r="KQ67" s="14">
        <v>21.222372289110059</v>
      </c>
      <c r="KR67" s="14">
        <v>21.71821396140999</v>
      </c>
      <c r="KS67" s="14">
        <v>20.976294066299978</v>
      </c>
      <c r="KT67" s="14">
        <v>25.232495450960027</v>
      </c>
      <c r="KU67" s="14">
        <v>27.773440681799965</v>
      </c>
      <c r="KV67" s="14">
        <v>32.200377063560062</v>
      </c>
      <c r="KW67" s="14">
        <v>26.746807119459945</v>
      </c>
      <c r="KX67" s="14">
        <v>24.572824120600089</v>
      </c>
      <c r="KY67" s="14">
        <v>25.176943747749991</v>
      </c>
      <c r="KZ67" s="14">
        <v>25.069185724499988</v>
      </c>
      <c r="LA67" s="14">
        <v>27.437546508539949</v>
      </c>
      <c r="LB67" s="14">
        <v>26.498965138200059</v>
      </c>
      <c r="LC67" s="14">
        <v>34.293304836279972</v>
      </c>
      <c r="LD67" s="14">
        <v>31.315121744539983</v>
      </c>
      <c r="LE67" s="14">
        <v>28.336938652800018</v>
      </c>
      <c r="LF67" s="14">
        <v>29.104245686550009</v>
      </c>
      <c r="LG67" s="14">
        <v>31.065470997600073</v>
      </c>
      <c r="LH67" s="14">
        <v>39.684063276640082</v>
      </c>
      <c r="LI67" s="14">
        <v>33.284593320263383</v>
      </c>
      <c r="LJ67" s="14">
        <v>34.678042531501184</v>
      </c>
      <c r="LK67" s="14">
        <v>35.882233042801552</v>
      </c>
      <c r="LL67" s="14">
        <v>27.626031981690058</v>
      </c>
      <c r="LM67" s="14">
        <v>29.995501697809999</v>
      </c>
      <c r="LN67" s="14">
        <v>26.213096297999961</v>
      </c>
      <c r="LO67" s="14">
        <v>28.789770348920001</v>
      </c>
      <c r="LP67" s="14">
        <v>26.956563169999928</v>
      </c>
      <c r="LQ67" s="14">
        <v>26.027252731200058</v>
      </c>
      <c r="LR67" s="14">
        <v>27.257862083373325</v>
      </c>
      <c r="LS67" s="14">
        <v>26.747225994857768</v>
      </c>
      <c r="LT67" s="14">
        <v>26.67744693647705</v>
      </c>
      <c r="LU67" s="149"/>
    </row>
    <row r="68" spans="1:447" x14ac:dyDescent="0.3">
      <c r="A68" s="19" t="s">
        <v>51</v>
      </c>
      <c r="B68" s="19"/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4">
        <v>0</v>
      </c>
      <c r="T68" s="14">
        <v>0</v>
      </c>
      <c r="U68" s="14">
        <v>0</v>
      </c>
      <c r="V68" s="14">
        <v>0</v>
      </c>
      <c r="W68" s="14">
        <v>0</v>
      </c>
      <c r="X68" s="14">
        <v>0</v>
      </c>
      <c r="Y68" s="14">
        <v>0</v>
      </c>
      <c r="Z68" s="14">
        <v>0</v>
      </c>
      <c r="AA68" s="14">
        <v>0</v>
      </c>
      <c r="AB68" s="14">
        <v>0</v>
      </c>
      <c r="AC68" s="14">
        <v>0</v>
      </c>
      <c r="AD68" s="14">
        <v>0</v>
      </c>
      <c r="AE68" s="14">
        <v>0</v>
      </c>
      <c r="AF68" s="14">
        <v>0</v>
      </c>
      <c r="AG68" s="14">
        <v>0</v>
      </c>
      <c r="AH68" s="14">
        <v>0</v>
      </c>
      <c r="AI68" s="14">
        <v>0</v>
      </c>
      <c r="AJ68" s="14">
        <v>0</v>
      </c>
      <c r="AK68" s="14">
        <v>0</v>
      </c>
      <c r="AL68" s="14">
        <v>0</v>
      </c>
      <c r="AM68" s="14">
        <v>0</v>
      </c>
      <c r="AN68" s="14">
        <v>0</v>
      </c>
      <c r="AO68" s="14">
        <v>0</v>
      </c>
      <c r="AP68" s="14">
        <v>0</v>
      </c>
      <c r="AQ68" s="14">
        <v>0</v>
      </c>
      <c r="AR68" s="14">
        <v>0</v>
      </c>
      <c r="AS68" s="14">
        <v>0</v>
      </c>
      <c r="AT68" s="14">
        <v>0</v>
      </c>
      <c r="AU68" s="14">
        <v>0</v>
      </c>
      <c r="AV68" s="14">
        <v>0</v>
      </c>
      <c r="AW68" s="14">
        <v>0</v>
      </c>
      <c r="AX68" s="14">
        <v>0</v>
      </c>
      <c r="AY68" s="14">
        <v>0</v>
      </c>
      <c r="AZ68" s="14">
        <v>0</v>
      </c>
      <c r="BA68" s="14">
        <v>0</v>
      </c>
      <c r="BB68" s="14">
        <v>0</v>
      </c>
      <c r="BC68" s="14">
        <v>0</v>
      </c>
      <c r="BD68" s="14">
        <v>0</v>
      </c>
      <c r="BE68" s="14">
        <v>0</v>
      </c>
      <c r="BF68" s="14">
        <v>0</v>
      </c>
      <c r="BG68" s="14">
        <v>0</v>
      </c>
      <c r="BH68" s="14">
        <v>0</v>
      </c>
      <c r="BI68" s="14">
        <v>0</v>
      </c>
      <c r="BJ68" s="14">
        <v>0</v>
      </c>
      <c r="BK68" s="14">
        <v>0</v>
      </c>
      <c r="BL68" s="14">
        <v>0</v>
      </c>
      <c r="BM68" s="14">
        <v>0</v>
      </c>
      <c r="BN68" s="14">
        <v>0</v>
      </c>
      <c r="BO68" s="14">
        <v>0</v>
      </c>
      <c r="BP68" s="14">
        <v>0</v>
      </c>
      <c r="BQ68" s="14">
        <v>0</v>
      </c>
      <c r="BR68" s="14">
        <v>0</v>
      </c>
      <c r="BS68" s="14">
        <v>0</v>
      </c>
      <c r="BT68" s="14">
        <v>0</v>
      </c>
      <c r="BU68" s="14">
        <v>0</v>
      </c>
      <c r="BV68" s="14">
        <v>0</v>
      </c>
      <c r="BW68" s="14">
        <v>0</v>
      </c>
      <c r="BX68" s="14">
        <v>0</v>
      </c>
      <c r="BY68" s="14">
        <v>0</v>
      </c>
      <c r="BZ68" s="14">
        <v>0</v>
      </c>
      <c r="CA68" s="14">
        <v>0</v>
      </c>
      <c r="CB68" s="14">
        <v>0</v>
      </c>
      <c r="CC68" s="14">
        <v>0</v>
      </c>
      <c r="CD68" s="14">
        <v>0</v>
      </c>
      <c r="CE68" s="14">
        <v>0</v>
      </c>
      <c r="CF68" s="14">
        <v>0</v>
      </c>
      <c r="CG68" s="14">
        <v>0</v>
      </c>
      <c r="CH68" s="14">
        <v>0</v>
      </c>
      <c r="CI68" s="14">
        <v>0</v>
      </c>
      <c r="CJ68" s="14">
        <v>0</v>
      </c>
      <c r="CK68" s="14">
        <v>0</v>
      </c>
      <c r="CL68" s="14">
        <v>0</v>
      </c>
      <c r="CM68" s="14">
        <v>0</v>
      </c>
      <c r="CN68" s="14">
        <v>0</v>
      </c>
      <c r="CO68" s="14">
        <v>0</v>
      </c>
      <c r="CP68" s="14">
        <v>0</v>
      </c>
      <c r="CQ68" s="14">
        <v>0</v>
      </c>
      <c r="CR68" s="14">
        <v>0</v>
      </c>
      <c r="CS68" s="14">
        <v>0</v>
      </c>
      <c r="CT68" s="14">
        <v>0</v>
      </c>
      <c r="CU68" s="14">
        <v>0</v>
      </c>
      <c r="CV68" s="14">
        <v>0</v>
      </c>
      <c r="CW68" s="14">
        <v>0</v>
      </c>
      <c r="CX68" s="14">
        <v>0</v>
      </c>
      <c r="CY68" s="14">
        <v>0</v>
      </c>
      <c r="CZ68" s="14">
        <v>0</v>
      </c>
      <c r="DA68" s="14">
        <v>0</v>
      </c>
      <c r="DB68" s="14">
        <v>0</v>
      </c>
      <c r="DC68" s="14">
        <v>0</v>
      </c>
      <c r="DD68" s="14">
        <v>0</v>
      </c>
      <c r="DE68" s="14">
        <v>0</v>
      </c>
      <c r="DF68" s="14">
        <v>0</v>
      </c>
      <c r="DG68" s="14">
        <v>0</v>
      </c>
      <c r="DH68" s="14">
        <v>0</v>
      </c>
      <c r="DI68" s="14">
        <v>0</v>
      </c>
      <c r="DJ68" s="14">
        <v>0</v>
      </c>
      <c r="DK68" s="14">
        <v>0</v>
      </c>
      <c r="DL68" s="14">
        <v>0</v>
      </c>
      <c r="DM68" s="14">
        <v>0</v>
      </c>
      <c r="DN68" s="14">
        <v>0</v>
      </c>
      <c r="DO68" s="14">
        <v>0</v>
      </c>
      <c r="DP68" s="14">
        <v>0</v>
      </c>
      <c r="DQ68" s="14">
        <v>0</v>
      </c>
      <c r="DR68" s="14">
        <v>0</v>
      </c>
      <c r="DS68" s="14">
        <v>0</v>
      </c>
      <c r="DT68" s="14">
        <v>0</v>
      </c>
      <c r="DU68" s="14">
        <v>0</v>
      </c>
      <c r="DV68" s="14">
        <v>0</v>
      </c>
      <c r="DW68" s="14">
        <v>0</v>
      </c>
      <c r="DX68" s="14">
        <v>0</v>
      </c>
      <c r="DY68" s="14">
        <v>0</v>
      </c>
      <c r="DZ68" s="14">
        <v>0</v>
      </c>
      <c r="EA68" s="14">
        <v>0</v>
      </c>
      <c r="EB68" s="14">
        <v>0</v>
      </c>
      <c r="EC68" s="14">
        <v>0</v>
      </c>
      <c r="ED68" s="14">
        <v>0</v>
      </c>
      <c r="EE68" s="14">
        <v>0</v>
      </c>
      <c r="EF68" s="14">
        <v>0</v>
      </c>
      <c r="EG68" s="14">
        <v>0</v>
      </c>
      <c r="EH68" s="14">
        <v>0</v>
      </c>
      <c r="EI68" s="14">
        <v>0</v>
      </c>
      <c r="EJ68" s="14">
        <v>0</v>
      </c>
      <c r="EK68" s="14">
        <v>2.7707753193099696E-3</v>
      </c>
      <c r="EL68" s="14">
        <v>3.0727898291147563E-3</v>
      </c>
      <c r="EM68" s="14">
        <v>3.4077239204882647E-3</v>
      </c>
      <c r="EN68" s="14">
        <v>3.7791658278214851E-3</v>
      </c>
      <c r="EO68" s="14">
        <v>4.1910949030540268E-3</v>
      </c>
      <c r="EP68" s="14">
        <v>4.6479242474869158E-3</v>
      </c>
      <c r="EQ68" s="14">
        <v>5.7163937214234559E-3</v>
      </c>
      <c r="ER68" s="14">
        <v>6.3394806370586131E-3</v>
      </c>
      <c r="ES68" s="14">
        <v>7.0304840264980017E-3</v>
      </c>
      <c r="ET68" s="14">
        <v>7.7968067853862837E-3</v>
      </c>
      <c r="EU68" s="14">
        <v>8.6466587249933863E-3</v>
      </c>
      <c r="EV68" s="14">
        <v>9.589144526017666E-3</v>
      </c>
      <c r="EW68" s="14">
        <v>1.0634361279353591E-2</v>
      </c>
      <c r="EX68" s="14">
        <v>1.1793506658803129E-2</v>
      </c>
      <c r="EY68" s="14">
        <v>1.3078998884612669E-2</v>
      </c>
      <c r="EZ68" s="14">
        <v>1.4504609763035451E-2</v>
      </c>
      <c r="FA68" s="14">
        <v>1.6085612227206312E-2</v>
      </c>
      <c r="FB68" s="14">
        <v>1.7838943959971803E-2</v>
      </c>
      <c r="FC68" s="14">
        <v>1.9783388851608727E-2</v>
      </c>
      <c r="FD68" s="14">
        <v>2.1939778236434077E-2</v>
      </c>
      <c r="FE68" s="14">
        <v>2.4331214064205395E-2</v>
      </c>
      <c r="FF68" s="14">
        <v>2.6983316397203781E-2</v>
      </c>
      <c r="FG68" s="14">
        <v>2.9924497884498993E-2</v>
      </c>
      <c r="FH68" s="14">
        <v>3.3186268153909376E-2</v>
      </c>
      <c r="FI68" s="14">
        <v>6.447594999999999E-2</v>
      </c>
      <c r="FJ68" s="14">
        <v>6.7529270000000002E-2</v>
      </c>
      <c r="FK68" s="14">
        <v>4.2803540000000001E-2</v>
      </c>
      <c r="FL68" s="14">
        <v>6.0349230000000004E-2</v>
      </c>
      <c r="FM68" s="14">
        <v>7.7898469999999997E-2</v>
      </c>
      <c r="FN68" s="14">
        <v>8.7639600000000012E-2</v>
      </c>
      <c r="FO68" s="14">
        <v>9.0995259999999994E-2</v>
      </c>
      <c r="FP68" s="14">
        <v>5.9632739999999997E-2</v>
      </c>
      <c r="FQ68" s="14">
        <v>2.8268390000000001E-2</v>
      </c>
      <c r="FR68" s="14">
        <v>4.3543800000000001E-2</v>
      </c>
      <c r="FS68" s="14">
        <v>3.1754650000000002E-2</v>
      </c>
      <c r="FT68" s="14">
        <v>4.0027190000000004E-2</v>
      </c>
      <c r="FU68" s="14">
        <v>9.7836030000000004E-2</v>
      </c>
      <c r="FV68" s="14">
        <v>0.13053188000000002</v>
      </c>
      <c r="FW68" s="14">
        <v>0.16322766</v>
      </c>
      <c r="FX68" s="14">
        <v>0.1091249</v>
      </c>
      <c r="FY68" s="14">
        <v>5.5019999999999999E-2</v>
      </c>
      <c r="FZ68" s="14">
        <v>6.5849520000000009E-2</v>
      </c>
      <c r="GA68" s="14">
        <v>7.4599029999999997E-2</v>
      </c>
      <c r="GB68" s="14">
        <v>7.3542919999999998E-2</v>
      </c>
      <c r="GC68" s="14">
        <v>7.2484889999999996E-2</v>
      </c>
      <c r="GD68" s="14">
        <v>6.3395670000000001E-2</v>
      </c>
      <c r="GE68" s="14">
        <v>5.4304860000000003E-2</v>
      </c>
      <c r="GF68" s="14">
        <v>7.6044840000000002E-2</v>
      </c>
      <c r="GG68" s="14">
        <v>0.7002359870799999</v>
      </c>
      <c r="GH68" s="14">
        <v>0.10716425216</v>
      </c>
      <c r="GI68" s="14">
        <v>9.468300016000003E-2</v>
      </c>
      <c r="GJ68" s="14">
        <v>2.5136483120000004E-2</v>
      </c>
      <c r="GK68" s="14">
        <v>2.8470222199999996E-2</v>
      </c>
      <c r="GL68" s="14">
        <v>4.7554844960000002E-2</v>
      </c>
      <c r="GM68" s="14">
        <v>0.11706643868388</v>
      </c>
      <c r="GN68" s="14">
        <v>2.6939721398270797</v>
      </c>
      <c r="GO68" s="14">
        <v>0.12578725602995999</v>
      </c>
      <c r="GP68" s="14">
        <v>0.15411070085824002</v>
      </c>
      <c r="GQ68" s="14">
        <v>0.14095454047472</v>
      </c>
      <c r="GR68" s="14">
        <v>0.17635039931264002</v>
      </c>
      <c r="GS68" s="14">
        <v>0.21413703191650008</v>
      </c>
      <c r="GT68" s="14">
        <v>0.12833680316800003</v>
      </c>
      <c r="GU68" s="14">
        <v>9.1688947752640013E-2</v>
      </c>
      <c r="GV68" s="14">
        <v>0.14030647706291993</v>
      </c>
      <c r="GW68" s="14">
        <v>0.13556325195139984</v>
      </c>
      <c r="GX68" s="14">
        <v>4.7505507566579987E-2</v>
      </c>
      <c r="GY68" s="14">
        <v>9.0522458747700096E-2</v>
      </c>
      <c r="GZ68" s="14">
        <v>0.12755558816531992</v>
      </c>
      <c r="HA68" s="14">
        <v>7.53968387795E-2</v>
      </c>
      <c r="HB68" s="14">
        <v>0.23767307291811995</v>
      </c>
      <c r="HC68" s="14">
        <v>0.13268349356668005</v>
      </c>
      <c r="HD68" s="14">
        <v>8.3535964093260015E-2</v>
      </c>
      <c r="HE68" s="14">
        <v>0.20759277940000007</v>
      </c>
      <c r="HF68" s="14">
        <v>0.12137509957000001</v>
      </c>
      <c r="HG68" s="14">
        <v>0.18693570073999999</v>
      </c>
      <c r="HH68" s="14">
        <v>0.24507786238999996</v>
      </c>
      <c r="HI68" s="14">
        <v>0.28588545980000007</v>
      </c>
      <c r="HJ68" s="14">
        <v>0.19692851423999999</v>
      </c>
      <c r="HK68" s="14">
        <v>0.16322623431000002</v>
      </c>
      <c r="HL68" s="14">
        <v>0.22901705070000003</v>
      </c>
      <c r="HM68" s="14">
        <v>0.12445517278000003</v>
      </c>
      <c r="HN68" s="14">
        <v>0.19254270953999994</v>
      </c>
      <c r="HO68" s="14">
        <v>0.16836261787000001</v>
      </c>
      <c r="HP68" s="14">
        <v>0.23416544540999998</v>
      </c>
      <c r="HQ68" s="14">
        <v>0.16438851000000002</v>
      </c>
      <c r="HR68" s="14">
        <v>0.17039372</v>
      </c>
      <c r="HS68" s="14">
        <v>0.21599335</v>
      </c>
      <c r="HT68" s="14">
        <v>0.26159292000000001</v>
      </c>
      <c r="HU68" s="14">
        <v>9.4415999999999999E-4</v>
      </c>
      <c r="HV68" s="14">
        <v>9.2130000000000001E-4</v>
      </c>
      <c r="HW68" s="14">
        <v>2.33336E-3</v>
      </c>
      <c r="HX68" s="14">
        <v>2.4444699999999998E-3</v>
      </c>
      <c r="HY68" s="14">
        <v>4.9709200000000002E-3</v>
      </c>
      <c r="HZ68" s="14">
        <v>0.12435199000000001</v>
      </c>
      <c r="IA68" s="14">
        <v>0.22167708999999999</v>
      </c>
      <c r="IB68" s="14">
        <v>8.7305389999999997E-2</v>
      </c>
      <c r="IC68" s="14">
        <v>0.16608393999999985</v>
      </c>
      <c r="ID68" s="14">
        <v>0.14715680999999997</v>
      </c>
      <c r="IE68" s="14">
        <v>0.12869496999999999</v>
      </c>
      <c r="IF68" s="14">
        <v>0.11042396</v>
      </c>
      <c r="IG68" s="14">
        <v>0.12746538999999996</v>
      </c>
      <c r="IH68" s="14">
        <v>9.2835059999999969E-2</v>
      </c>
      <c r="II68" s="14">
        <v>8.7083580000000022E-2</v>
      </c>
      <c r="IJ68" s="14">
        <v>0.14433468999999979</v>
      </c>
      <c r="IK68" s="14">
        <v>0.11131473999999991</v>
      </c>
      <c r="IL68" s="14">
        <v>0.1613225999999999</v>
      </c>
      <c r="IM68" s="14">
        <v>0.12565311999999995</v>
      </c>
      <c r="IN68" s="14">
        <v>0.1315130600000001</v>
      </c>
      <c r="IO68" s="14">
        <v>0.12748253000000001</v>
      </c>
      <c r="IP68" s="14">
        <v>6.8625700000000026E-2</v>
      </c>
      <c r="IQ68" s="14">
        <v>0.40076045000000038</v>
      </c>
      <c r="IR68" s="14">
        <v>0.26735026999999995</v>
      </c>
      <c r="IS68" s="14">
        <v>7.2273289999999976E-2</v>
      </c>
      <c r="IT68" s="14">
        <v>0.12353782000000013</v>
      </c>
      <c r="IU68" s="14">
        <v>0.32871842999999995</v>
      </c>
      <c r="IV68" s="14">
        <v>7.2853669999999829E-2</v>
      </c>
      <c r="IW68" s="14">
        <v>0.15334390000000017</v>
      </c>
      <c r="IX68" s="14">
        <v>0.10727322000000009</v>
      </c>
      <c r="IY68" s="14">
        <v>8.0300769999999938E-2</v>
      </c>
      <c r="IZ68" s="14">
        <v>0.1439148900000001</v>
      </c>
      <c r="JA68" s="14">
        <v>9.8844660000000209E-2</v>
      </c>
      <c r="JB68" s="14">
        <v>6.5076269999999992E-2</v>
      </c>
      <c r="JC68" s="14">
        <v>7.4274429999999975E-2</v>
      </c>
      <c r="JD68" s="14">
        <v>8.9332649999999944E-2</v>
      </c>
      <c r="JE68" s="14">
        <v>0.13062464999999995</v>
      </c>
      <c r="JF68" s="14">
        <v>0.12352800000000003</v>
      </c>
      <c r="JG68" s="14">
        <v>8.7512154839999967E-2</v>
      </c>
      <c r="JH68" s="14">
        <v>5.1496309679999901E-2</v>
      </c>
      <c r="JI68" s="14">
        <v>5.0598284699999982E-2</v>
      </c>
      <c r="JJ68" s="14">
        <v>4.2000660000000002E-2</v>
      </c>
      <c r="JK68" s="14">
        <v>4.3167720000000069E-3</v>
      </c>
      <c r="JL68" s="14">
        <v>0.21382291999999989</v>
      </c>
      <c r="JM68" s="14">
        <v>0.15978712405999998</v>
      </c>
      <c r="JN68" s="14">
        <v>0.10379916903999997</v>
      </c>
      <c r="JO68" s="14">
        <v>0.12492607818999998</v>
      </c>
      <c r="JP68" s="14">
        <v>4.431654870000002E-2</v>
      </c>
      <c r="JQ68" s="14">
        <v>0.10442521553999998</v>
      </c>
      <c r="JR68" s="14">
        <v>0.11706048570000001</v>
      </c>
      <c r="JS68" s="14">
        <v>0.13090761528</v>
      </c>
      <c r="JT68" s="14">
        <v>7.8859623879999993E-2</v>
      </c>
      <c r="JU68" s="14">
        <v>0.13233200580000001</v>
      </c>
      <c r="JV68" s="14">
        <v>0.15764161230000001</v>
      </c>
      <c r="JW68" s="14">
        <v>0.35364259770000001</v>
      </c>
      <c r="JX68" s="14">
        <v>0.13908067354</v>
      </c>
      <c r="JY68" s="14">
        <v>5.8390750079999998E-2</v>
      </c>
      <c r="JZ68" s="14">
        <v>4.7919422599999983E-2</v>
      </c>
      <c r="KA68" s="14">
        <v>8.4145041580000024E-2</v>
      </c>
      <c r="KB68" s="14">
        <v>6.9212148000000001E-2</v>
      </c>
      <c r="KC68" s="14">
        <v>6.543736494000002E-2</v>
      </c>
      <c r="KD68" s="14">
        <v>5.1173291280000026E-2</v>
      </c>
      <c r="KE68" s="14">
        <v>7.1532935860000021E-2</v>
      </c>
      <c r="KF68" s="14">
        <v>0.15190763654</v>
      </c>
      <c r="KG68" s="14">
        <v>0.11246094929999996</v>
      </c>
      <c r="KH68" s="14">
        <v>0.11498437570999998</v>
      </c>
      <c r="KI68" s="14">
        <v>0.13766702699999997</v>
      </c>
      <c r="KJ68" s="14">
        <v>0.18269567310999998</v>
      </c>
      <c r="KK68" s="14">
        <v>0.12429015194000001</v>
      </c>
      <c r="KL68" s="14">
        <v>0.14072799346999998</v>
      </c>
      <c r="KM68" s="14">
        <v>0.14585980158476525</v>
      </c>
      <c r="KN68" s="14">
        <v>4.1950297528685065E-2</v>
      </c>
      <c r="KO68" s="14">
        <v>4.3416141080000019E-2</v>
      </c>
      <c r="KP68" s="14">
        <v>9.8305829699999986E-2</v>
      </c>
      <c r="KQ68" s="14">
        <v>8.1975969160000009E-2</v>
      </c>
      <c r="KR68" s="14">
        <v>0.12656430555000001</v>
      </c>
      <c r="KS68" s="14">
        <v>0.1442675997</v>
      </c>
      <c r="KT68" s="14">
        <v>9.4838153369999983E-2</v>
      </c>
      <c r="KU68" s="14">
        <v>0.157685991</v>
      </c>
      <c r="KV68" s="14">
        <v>0.17148640480999966</v>
      </c>
      <c r="KW68" s="14">
        <v>8.3835851299999993E-3</v>
      </c>
      <c r="KX68" s="14">
        <v>1.6751312479999995E-2</v>
      </c>
      <c r="KY68" s="14">
        <v>7.9941728600000008E-3</v>
      </c>
      <c r="KZ68" s="14">
        <v>2.56671591E-2</v>
      </c>
      <c r="LA68" s="14">
        <v>3.1283453759999996E-2</v>
      </c>
      <c r="LB68" s="14">
        <v>2.8286993100000005E-2</v>
      </c>
      <c r="LC68" s="14">
        <v>2.8507689589999993E-2</v>
      </c>
      <c r="LD68" s="14">
        <v>4.6503919044999995E-2</v>
      </c>
      <c r="LE68" s="14">
        <v>6.4500148499999993E-2</v>
      </c>
      <c r="LF68" s="14">
        <v>4.1897704040000004E-2</v>
      </c>
      <c r="LG68" s="14">
        <v>0.32062100160000001</v>
      </c>
      <c r="LH68" s="14">
        <v>0.16056894012999998</v>
      </c>
      <c r="LI68" s="14">
        <v>0.17436254859</v>
      </c>
      <c r="LJ68" s="14">
        <v>0.21851749677333332</v>
      </c>
      <c r="LK68" s="14">
        <v>0.18448299516444444</v>
      </c>
      <c r="LL68" s="14">
        <v>4.529628673999999E-2</v>
      </c>
      <c r="LM68" s="14">
        <v>0.15653549354999999</v>
      </c>
      <c r="LN68" s="14">
        <v>5.3153202300000008E-2</v>
      </c>
      <c r="LO68" s="14">
        <v>0.30860750200999992</v>
      </c>
      <c r="LP68" s="14">
        <v>0.38152351000000001</v>
      </c>
      <c r="LQ68" s="14">
        <v>5.9207408699999999E-2</v>
      </c>
      <c r="LR68" s="14">
        <v>0.24977947356999999</v>
      </c>
      <c r="LS68" s="14">
        <v>0.23017013075666667</v>
      </c>
      <c r="LT68" s="14">
        <v>0.17971900434222224</v>
      </c>
      <c r="LU68" s="149"/>
    </row>
    <row r="69" spans="1:447" x14ac:dyDescent="0.3">
      <c r="A69" s="18"/>
      <c r="B69" s="18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  <c r="DR69" s="9"/>
      <c r="DS69" s="9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9"/>
      <c r="EE69" s="9"/>
      <c r="EF69" s="9"/>
      <c r="EG69" s="9"/>
      <c r="EH69" s="9"/>
      <c r="EI69" s="9"/>
      <c r="EJ69" s="9"/>
      <c r="EK69" s="9"/>
      <c r="EL69" s="9"/>
      <c r="EM69" s="9"/>
      <c r="EN69" s="9"/>
      <c r="EO69" s="9"/>
      <c r="EP69" s="9"/>
      <c r="EQ69" s="9"/>
      <c r="ER69" s="9"/>
      <c r="ES69" s="9"/>
      <c r="ET69" s="9"/>
      <c r="EU69" s="9"/>
      <c r="EV69" s="9"/>
      <c r="EW69" s="9"/>
      <c r="EX69" s="9"/>
      <c r="EY69" s="9"/>
      <c r="EZ69" s="9"/>
      <c r="FA69" s="9"/>
      <c r="FB69" s="9"/>
      <c r="FC69" s="9"/>
      <c r="FD69" s="9"/>
      <c r="FE69" s="9"/>
      <c r="FF69" s="9"/>
      <c r="FG69" s="9"/>
      <c r="FH69" s="9"/>
      <c r="FI69" s="9"/>
      <c r="FJ69" s="9"/>
      <c r="FK69" s="9"/>
      <c r="FL69" s="9"/>
      <c r="FM69" s="9"/>
      <c r="FN69" s="9"/>
      <c r="FO69" s="9"/>
      <c r="FP69" s="9"/>
      <c r="FQ69" s="9"/>
      <c r="FR69" s="9"/>
      <c r="FS69" s="9"/>
      <c r="FT69" s="9"/>
      <c r="FU69" s="9"/>
      <c r="FV69" s="9"/>
      <c r="FW69" s="9"/>
      <c r="FX69" s="9"/>
      <c r="FY69" s="9"/>
      <c r="FZ69" s="9"/>
      <c r="GA69" s="9"/>
      <c r="GB69" s="9"/>
      <c r="GC69" s="9"/>
      <c r="GD69" s="9"/>
      <c r="GE69" s="9"/>
      <c r="GF69" s="9"/>
      <c r="GG69" s="9"/>
      <c r="GH69" s="9"/>
      <c r="GI69" s="9"/>
      <c r="GJ69" s="9"/>
      <c r="GK69" s="9"/>
      <c r="GL69" s="9"/>
      <c r="GM69" s="9"/>
      <c r="GN69" s="9"/>
      <c r="GO69" s="9"/>
      <c r="GP69" s="9"/>
      <c r="GQ69" s="9"/>
      <c r="GR69" s="9"/>
      <c r="GS69" s="9"/>
      <c r="GT69" s="9"/>
      <c r="GU69" s="9"/>
      <c r="GV69" s="9"/>
      <c r="GW69" s="9"/>
      <c r="GX69" s="9"/>
      <c r="GY69" s="9"/>
      <c r="GZ69" s="9"/>
      <c r="HA69" s="9"/>
      <c r="HB69" s="9"/>
      <c r="HC69" s="9"/>
      <c r="HD69" s="9"/>
      <c r="HE69" s="9"/>
      <c r="HF69" s="9"/>
      <c r="HG69" s="9"/>
      <c r="HH69" s="9"/>
      <c r="HI69" s="9"/>
      <c r="HJ69" s="9"/>
      <c r="HK69" s="9"/>
      <c r="HL69" s="9"/>
      <c r="HM69" s="9"/>
      <c r="HN69" s="9"/>
      <c r="HO69" s="9"/>
      <c r="HP69" s="9"/>
      <c r="HQ69" s="9"/>
      <c r="HR69" s="9"/>
      <c r="HS69" s="9"/>
      <c r="HT69" s="9"/>
      <c r="HU69" s="9"/>
      <c r="HV69" s="9"/>
      <c r="HW69" s="9"/>
      <c r="HX69" s="9"/>
      <c r="HY69" s="9"/>
      <c r="HZ69" s="9"/>
      <c r="IA69" s="9"/>
      <c r="IB69" s="9"/>
      <c r="IC69" s="9"/>
      <c r="ID69" s="9"/>
      <c r="IE69" s="9"/>
      <c r="IF69" s="9"/>
      <c r="IG69" s="9"/>
      <c r="IH69" s="9"/>
      <c r="II69" s="9"/>
      <c r="IJ69" s="9"/>
      <c r="IK69" s="9"/>
      <c r="IL69" s="9"/>
      <c r="IM69" s="9"/>
      <c r="IN69" s="9"/>
      <c r="IO69" s="9"/>
      <c r="IP69" s="9"/>
      <c r="IQ69" s="9"/>
      <c r="IR69" s="9"/>
      <c r="IS69" s="9"/>
      <c r="IT69" s="9"/>
      <c r="IU69" s="9"/>
      <c r="IV69" s="9"/>
      <c r="IW69" s="9"/>
      <c r="IX69" s="9"/>
      <c r="IY69" s="9"/>
      <c r="IZ69" s="9"/>
      <c r="JA69" s="9"/>
      <c r="JB69" s="9"/>
      <c r="JC69" s="9"/>
      <c r="JD69" s="9"/>
      <c r="JE69" s="9"/>
      <c r="JF69" s="9"/>
      <c r="JG69" s="9"/>
      <c r="JH69" s="9"/>
      <c r="JI69" s="9"/>
      <c r="JJ69" s="9"/>
      <c r="JK69" s="9"/>
      <c r="JL69" s="9"/>
      <c r="JM69" s="9"/>
      <c r="JN69" s="9"/>
      <c r="JO69" s="9"/>
      <c r="JP69" s="9"/>
      <c r="JQ69" s="9"/>
      <c r="JR69" s="9"/>
      <c r="JS69" s="9"/>
      <c r="JT69" s="9"/>
      <c r="JU69" s="9"/>
      <c r="JV69" s="9"/>
      <c r="JW69" s="9"/>
      <c r="JX69" s="9"/>
      <c r="JY69" s="9"/>
      <c r="JZ69" s="9"/>
      <c r="KA69" s="9"/>
      <c r="KB69" s="9"/>
      <c r="KC69" s="9"/>
      <c r="KD69" s="9"/>
      <c r="KE69" s="9"/>
      <c r="KF69" s="9"/>
      <c r="KG69" s="9"/>
      <c r="KH69" s="9"/>
      <c r="KI69" s="9"/>
      <c r="KJ69" s="9"/>
      <c r="KK69" s="9"/>
      <c r="KL69" s="9"/>
      <c r="KM69" s="9"/>
      <c r="KN69" s="9"/>
      <c r="KO69" s="9"/>
      <c r="KP69" s="9"/>
      <c r="KQ69" s="9"/>
      <c r="KR69" s="9"/>
      <c r="KS69" s="9"/>
      <c r="KT69" s="9"/>
      <c r="KU69" s="9"/>
      <c r="KV69" s="9"/>
      <c r="KW69" s="9"/>
      <c r="KX69" s="9"/>
      <c r="KY69" s="9"/>
      <c r="KZ69" s="9"/>
      <c r="LA69" s="9"/>
      <c r="LB69" s="9"/>
      <c r="LC69" s="9"/>
      <c r="LD69" s="9"/>
      <c r="LE69" s="9"/>
      <c r="LF69" s="9"/>
      <c r="LG69" s="9"/>
      <c r="LH69" s="9"/>
      <c r="LI69" s="9"/>
      <c r="LJ69" s="9"/>
      <c r="LK69" s="9"/>
      <c r="LL69" s="9"/>
      <c r="LM69" s="9"/>
      <c r="LN69" s="9"/>
      <c r="LO69" s="9"/>
      <c r="LP69" s="9"/>
      <c r="LQ69" s="9"/>
      <c r="LR69" s="9"/>
      <c r="LS69" s="9"/>
      <c r="LT69" s="9"/>
      <c r="LU69" s="149"/>
    </row>
    <row r="70" spans="1:447" x14ac:dyDescent="0.3">
      <c r="A70" s="26" t="s">
        <v>52</v>
      </c>
      <c r="B70" s="26"/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9">
        <v>0</v>
      </c>
      <c r="AE70" s="9">
        <v>0</v>
      </c>
      <c r="AF70" s="9">
        <v>0</v>
      </c>
      <c r="AG70" s="9">
        <v>0</v>
      </c>
      <c r="AH70" s="9">
        <v>0</v>
      </c>
      <c r="AI70" s="9">
        <v>0</v>
      </c>
      <c r="AJ70" s="9">
        <v>0</v>
      </c>
      <c r="AK70" s="9">
        <v>0</v>
      </c>
      <c r="AL70" s="9">
        <v>0</v>
      </c>
      <c r="AM70" s="9">
        <v>0</v>
      </c>
      <c r="AN70" s="9">
        <v>0</v>
      </c>
      <c r="AO70" s="9">
        <v>0</v>
      </c>
      <c r="AP70" s="9">
        <v>0</v>
      </c>
      <c r="AQ70" s="9">
        <v>0</v>
      </c>
      <c r="AR70" s="9">
        <v>0</v>
      </c>
      <c r="AS70" s="9">
        <v>0</v>
      </c>
      <c r="AT70" s="9">
        <v>0</v>
      </c>
      <c r="AU70" s="9">
        <v>0</v>
      </c>
      <c r="AV70" s="9">
        <v>0</v>
      </c>
      <c r="AW70" s="9">
        <v>0</v>
      </c>
      <c r="AX70" s="9">
        <v>0</v>
      </c>
      <c r="AY70" s="9">
        <v>0</v>
      </c>
      <c r="AZ70" s="9">
        <v>0</v>
      </c>
      <c r="BA70" s="9">
        <v>0</v>
      </c>
      <c r="BB70" s="9">
        <v>0</v>
      </c>
      <c r="BC70" s="9">
        <v>0</v>
      </c>
      <c r="BD70" s="9">
        <v>0</v>
      </c>
      <c r="BE70" s="9">
        <v>0</v>
      </c>
      <c r="BF70" s="9">
        <v>0</v>
      </c>
      <c r="BG70" s="9">
        <v>0</v>
      </c>
      <c r="BH70" s="9">
        <v>0</v>
      </c>
      <c r="BI70" s="9">
        <v>0</v>
      </c>
      <c r="BJ70" s="9">
        <v>0</v>
      </c>
      <c r="BK70" s="9">
        <v>0</v>
      </c>
      <c r="BL70" s="9">
        <v>0</v>
      </c>
      <c r="BM70" s="9">
        <v>0</v>
      </c>
      <c r="BN70" s="9">
        <v>0</v>
      </c>
      <c r="BO70" s="9">
        <v>0</v>
      </c>
      <c r="BP70" s="9">
        <v>0</v>
      </c>
      <c r="BQ70" s="9">
        <v>0</v>
      </c>
      <c r="BR70" s="9">
        <v>0</v>
      </c>
      <c r="BS70" s="9">
        <v>0</v>
      </c>
      <c r="BT70" s="9">
        <v>0</v>
      </c>
      <c r="BU70" s="9">
        <v>0</v>
      </c>
      <c r="BV70" s="9">
        <v>0</v>
      </c>
      <c r="BW70" s="9">
        <v>0</v>
      </c>
      <c r="BX70" s="9">
        <v>0</v>
      </c>
      <c r="BY70" s="9">
        <v>0</v>
      </c>
      <c r="BZ70" s="9">
        <v>0</v>
      </c>
      <c r="CA70" s="9">
        <v>0</v>
      </c>
      <c r="CB70" s="9">
        <v>0</v>
      </c>
      <c r="CC70" s="9">
        <v>0</v>
      </c>
      <c r="CD70" s="9">
        <v>0</v>
      </c>
      <c r="CE70" s="9">
        <v>0</v>
      </c>
      <c r="CF70" s="9">
        <v>0</v>
      </c>
      <c r="CG70" s="9">
        <v>0</v>
      </c>
      <c r="CH70" s="9">
        <v>0</v>
      </c>
      <c r="CI70" s="9">
        <v>0</v>
      </c>
      <c r="CJ70" s="9">
        <v>0</v>
      </c>
      <c r="CK70" s="9">
        <v>0</v>
      </c>
      <c r="CL70" s="9">
        <v>0</v>
      </c>
      <c r="CM70" s="9">
        <v>0</v>
      </c>
      <c r="CN70" s="9">
        <v>0</v>
      </c>
      <c r="CO70" s="9">
        <v>0</v>
      </c>
      <c r="CP70" s="9">
        <v>0</v>
      </c>
      <c r="CQ70" s="9">
        <v>0</v>
      </c>
      <c r="CR70" s="9">
        <v>0</v>
      </c>
      <c r="CS70" s="9">
        <v>0</v>
      </c>
      <c r="CT70" s="9">
        <v>0</v>
      </c>
      <c r="CU70" s="9">
        <v>0</v>
      </c>
      <c r="CV70" s="9">
        <v>0</v>
      </c>
      <c r="CW70" s="9">
        <v>0</v>
      </c>
      <c r="CX70" s="9">
        <v>0</v>
      </c>
      <c r="CY70" s="9">
        <v>0</v>
      </c>
      <c r="CZ70" s="9">
        <v>0</v>
      </c>
      <c r="DA70" s="9">
        <v>0</v>
      </c>
      <c r="DB70" s="9">
        <v>0</v>
      </c>
      <c r="DC70" s="9">
        <v>0</v>
      </c>
      <c r="DD70" s="9">
        <v>0</v>
      </c>
      <c r="DE70" s="9">
        <v>0</v>
      </c>
      <c r="DF70" s="9">
        <v>0</v>
      </c>
      <c r="DG70" s="9">
        <v>0</v>
      </c>
      <c r="DH70" s="9">
        <v>0</v>
      </c>
      <c r="DI70" s="9">
        <v>0</v>
      </c>
      <c r="DJ70" s="9">
        <v>0</v>
      </c>
      <c r="DK70" s="9">
        <v>0</v>
      </c>
      <c r="DL70" s="9">
        <v>0</v>
      </c>
      <c r="DM70" s="9">
        <v>0</v>
      </c>
      <c r="DN70" s="9">
        <v>0</v>
      </c>
      <c r="DO70" s="9">
        <v>0</v>
      </c>
      <c r="DP70" s="9">
        <v>0</v>
      </c>
      <c r="DQ70" s="9">
        <v>0</v>
      </c>
      <c r="DR70" s="9">
        <v>0</v>
      </c>
      <c r="DS70" s="9">
        <v>0</v>
      </c>
      <c r="DT70" s="9">
        <v>0</v>
      </c>
      <c r="DU70" s="9">
        <v>0</v>
      </c>
      <c r="DV70" s="9">
        <v>0</v>
      </c>
      <c r="DW70" s="9">
        <v>0</v>
      </c>
      <c r="DX70" s="9">
        <v>0</v>
      </c>
      <c r="DY70" s="9">
        <v>0</v>
      </c>
      <c r="DZ70" s="9">
        <v>0</v>
      </c>
      <c r="EA70" s="9">
        <v>0</v>
      </c>
      <c r="EB70" s="9">
        <v>0</v>
      </c>
      <c r="EC70" s="9">
        <v>0</v>
      </c>
      <c r="ED70" s="9">
        <v>0</v>
      </c>
      <c r="EE70" s="9">
        <v>0</v>
      </c>
      <c r="EF70" s="9">
        <v>0</v>
      </c>
      <c r="EG70" s="9">
        <v>0</v>
      </c>
      <c r="EH70" s="9">
        <v>0</v>
      </c>
      <c r="EI70" s="9">
        <v>0</v>
      </c>
      <c r="EJ70" s="9">
        <v>0</v>
      </c>
      <c r="EK70" s="9">
        <v>0.66328735034722341</v>
      </c>
      <c r="EL70" s="9">
        <v>0.73558567153507082</v>
      </c>
      <c r="EM70" s="9">
        <v>0.81576450973239345</v>
      </c>
      <c r="EN70" s="9">
        <v>0.9046828412932244</v>
      </c>
      <c r="EO70" s="9">
        <v>1.0032932709941857</v>
      </c>
      <c r="EP70" s="9">
        <v>1.112652237532552</v>
      </c>
      <c r="EQ70" s="9">
        <v>1.3684298465487725</v>
      </c>
      <c r="ER70" s="9">
        <v>1.5175886998225889</v>
      </c>
      <c r="ES70" s="9">
        <v>1.6830058681032509</v>
      </c>
      <c r="ET70" s="9">
        <v>1.8664535077265052</v>
      </c>
      <c r="EU70" s="9">
        <v>2.069896940068694</v>
      </c>
      <c r="EV70" s="9">
        <v>2.2955157065361815</v>
      </c>
      <c r="EW70" s="9">
        <v>2.5457269185486253</v>
      </c>
      <c r="EX70" s="9">
        <v>2.823211152670428</v>
      </c>
      <c r="EY70" s="9">
        <v>3.1309411683115016</v>
      </c>
      <c r="EZ70" s="9">
        <v>3.4722137556574553</v>
      </c>
      <c r="FA70" s="9">
        <v>3.8506850550241176</v>
      </c>
      <c r="FB70" s="9">
        <v>4.2704097260217466</v>
      </c>
      <c r="FC70" s="9">
        <v>4.7358843861581175</v>
      </c>
      <c r="FD70" s="9">
        <v>5.2520957842493514</v>
      </c>
      <c r="FE70" s="9">
        <v>5.8245742247325314</v>
      </c>
      <c r="FF70" s="9">
        <v>6.4594528152283761</v>
      </c>
      <c r="FG70" s="9">
        <v>7.16353317208827</v>
      </c>
      <c r="FH70" s="9">
        <v>7.9443582878458905</v>
      </c>
      <c r="FI70" s="9">
        <v>8.4717974200000015</v>
      </c>
      <c r="FJ70" s="9">
        <v>8.8729832399999999</v>
      </c>
      <c r="FK70" s="9">
        <v>11.244965309999998</v>
      </c>
      <c r="FL70" s="9">
        <v>14.602242019999998</v>
      </c>
      <c r="FM70" s="9">
        <v>17.959540480000001</v>
      </c>
      <c r="FN70" s="9">
        <v>10.068536769999998</v>
      </c>
      <c r="FO70" s="9">
        <v>10.454055540000001</v>
      </c>
      <c r="FP70" s="9">
        <v>11.773336820000001</v>
      </c>
      <c r="FQ70" s="9">
        <v>13.092603609999999</v>
      </c>
      <c r="FR70" s="9">
        <v>16.596798429999996</v>
      </c>
      <c r="FS70" s="9">
        <v>16.261785570000001</v>
      </c>
      <c r="FT70" s="9">
        <v>22.556223669999998</v>
      </c>
      <c r="FU70" s="9">
        <v>6.8146241299999994</v>
      </c>
      <c r="FV70" s="9">
        <v>9.0919493599999992</v>
      </c>
      <c r="FW70" s="9">
        <v>11.36926914</v>
      </c>
      <c r="FX70" s="9">
        <v>14.127638670000001</v>
      </c>
      <c r="FY70" s="9">
        <v>16.88573392</v>
      </c>
      <c r="FZ70" s="9">
        <v>18.067115860000001</v>
      </c>
      <c r="GA70" s="9">
        <v>20.467752440000005</v>
      </c>
      <c r="GB70" s="9">
        <v>19.321675879999997</v>
      </c>
      <c r="GC70" s="9">
        <v>18.175026920000001</v>
      </c>
      <c r="GD70" s="9">
        <v>18.55097606</v>
      </c>
      <c r="GE70" s="9">
        <v>18.926821379999996</v>
      </c>
      <c r="GF70" s="9">
        <v>26.503857980000003</v>
      </c>
      <c r="GG70" s="9">
        <v>22.018740302999987</v>
      </c>
      <c r="GH70" s="9">
        <v>23.185546317640004</v>
      </c>
      <c r="GI70" s="9">
        <v>20.486088305479999</v>
      </c>
      <c r="GJ70" s="9">
        <v>13.649803246240001</v>
      </c>
      <c r="GK70" s="9">
        <v>15.460077629639992</v>
      </c>
      <c r="GL70" s="9">
        <v>17.761534734999994</v>
      </c>
      <c r="GM70" s="9">
        <v>25.156647748215768</v>
      </c>
      <c r="GN70" s="9">
        <v>34.066977051031159</v>
      </c>
      <c r="GO70" s="9">
        <v>30.890063708194596</v>
      </c>
      <c r="GP70" s="9">
        <v>38.142765031280291</v>
      </c>
      <c r="GQ70" s="9">
        <v>61.982306232328064</v>
      </c>
      <c r="GR70" s="9">
        <v>92.777207944924314</v>
      </c>
      <c r="GS70" s="9">
        <v>47.673157260444668</v>
      </c>
      <c r="GT70" s="9">
        <v>43.528822081145798</v>
      </c>
      <c r="GU70" s="9">
        <v>40.714249831983544</v>
      </c>
      <c r="GV70" s="9">
        <v>43.369073600449198</v>
      </c>
      <c r="GW70" s="9">
        <v>40.218718510147433</v>
      </c>
      <c r="GX70" s="9">
        <v>44.738324487835257</v>
      </c>
      <c r="GY70" s="9">
        <v>40.479087130096921</v>
      </c>
      <c r="GZ70" s="9">
        <v>43.024935781984169</v>
      </c>
      <c r="HA70" s="9">
        <v>37.310981059664478</v>
      </c>
      <c r="HB70" s="9">
        <v>45.54013548514024</v>
      </c>
      <c r="HC70" s="9">
        <v>46.807056365364303</v>
      </c>
      <c r="HD70" s="9">
        <v>41.980189244461769</v>
      </c>
      <c r="HE70" s="9">
        <v>60.809630111380073</v>
      </c>
      <c r="HF70" s="9">
        <v>50.038458556300078</v>
      </c>
      <c r="HG70" s="9">
        <v>53.156976193959906</v>
      </c>
      <c r="HH70" s="9">
        <v>68.102066045190099</v>
      </c>
      <c r="HI70" s="9">
        <v>71.371398395629896</v>
      </c>
      <c r="HJ70" s="9">
        <v>54.80763565188014</v>
      </c>
      <c r="HK70" s="9">
        <v>56.78661491963998</v>
      </c>
      <c r="HL70" s="9">
        <v>57.971881581970223</v>
      </c>
      <c r="HM70" s="9">
        <v>58.084202572830129</v>
      </c>
      <c r="HN70" s="9">
        <v>66.781113958769964</v>
      </c>
      <c r="HO70" s="9">
        <v>72.50018977564001</v>
      </c>
      <c r="HP70" s="9">
        <v>90.664459985490126</v>
      </c>
      <c r="HQ70" s="9">
        <v>62.356684289999997</v>
      </c>
      <c r="HR70" s="9">
        <v>49.909282560000001</v>
      </c>
      <c r="HS70" s="9">
        <v>43.544199859999992</v>
      </c>
      <c r="HT70" s="9">
        <v>37.179108480000295</v>
      </c>
      <c r="HU70" s="9">
        <v>33.802354479999906</v>
      </c>
      <c r="HV70" s="9">
        <v>30.521132149999413</v>
      </c>
      <c r="HW70" s="9">
        <v>33.662179349999697</v>
      </c>
      <c r="HX70" s="9">
        <v>38.533096649999997</v>
      </c>
      <c r="HY70" s="9">
        <v>37.424730789999785</v>
      </c>
      <c r="HZ70" s="9">
        <v>35.741602889999996</v>
      </c>
      <c r="IA70" s="9">
        <v>41.78546644</v>
      </c>
      <c r="IB70" s="9">
        <v>42.798917109999998</v>
      </c>
      <c r="IC70" s="9">
        <v>29.184206519999716</v>
      </c>
      <c r="ID70" s="9">
        <v>25.836543850000094</v>
      </c>
      <c r="IE70" s="9">
        <v>22.411368529999454</v>
      </c>
      <c r="IF70" s="9">
        <v>20.838135680000125</v>
      </c>
      <c r="IG70" s="9">
        <v>26.750383260309924</v>
      </c>
      <c r="IH70" s="9">
        <v>29.012923969999697</v>
      </c>
      <c r="II70" s="9">
        <v>30.643606189999652</v>
      </c>
      <c r="IJ70" s="9">
        <v>34.584279929999731</v>
      </c>
      <c r="IK70" s="9">
        <v>27.780212330000175</v>
      </c>
      <c r="IL70" s="9">
        <v>23.897066740000206</v>
      </c>
      <c r="IM70" s="9">
        <v>27.951382190000302</v>
      </c>
      <c r="IN70" s="9">
        <v>29.417799900001075</v>
      </c>
      <c r="IO70" s="9">
        <v>28.99290542000017</v>
      </c>
      <c r="IP70" s="9">
        <v>25.266723119999401</v>
      </c>
      <c r="IQ70" s="9">
        <v>30.784734040000131</v>
      </c>
      <c r="IR70" s="9">
        <v>31.213793430000145</v>
      </c>
      <c r="IS70" s="9">
        <v>31.398937079999644</v>
      </c>
      <c r="IT70" s="9">
        <v>30.85243757999956</v>
      </c>
      <c r="IU70" s="9">
        <v>27.013420640000536</v>
      </c>
      <c r="IV70" s="9">
        <v>37.301062639999969</v>
      </c>
      <c r="IW70" s="9">
        <v>39.726170019999948</v>
      </c>
      <c r="IX70" s="9">
        <v>42.20457619550028</v>
      </c>
      <c r="IY70" s="9">
        <v>42.056453399999988</v>
      </c>
      <c r="IZ70" s="9">
        <v>48.990460490000856</v>
      </c>
      <c r="JA70" s="9">
        <v>40.574791890000377</v>
      </c>
      <c r="JB70" s="9">
        <v>31.406957740000099</v>
      </c>
      <c r="JC70" s="9">
        <v>30.259083529999849</v>
      </c>
      <c r="JD70" s="9">
        <v>28.769928089999954</v>
      </c>
      <c r="JE70" s="9">
        <v>32.639632910000607</v>
      </c>
      <c r="JF70" s="9">
        <v>27.70917628999997</v>
      </c>
      <c r="JG70" s="9">
        <v>30.893270155684959</v>
      </c>
      <c r="JH70" s="9">
        <v>34.077364021369952</v>
      </c>
      <c r="JI70" s="9">
        <v>34.417305927789954</v>
      </c>
      <c r="JJ70" s="9">
        <v>31.836878083101421</v>
      </c>
      <c r="JK70" s="9">
        <v>32.648271576729869</v>
      </c>
      <c r="JL70" s="9">
        <v>32.016035459999564</v>
      </c>
      <c r="JM70" s="9">
        <v>27.97168745759997</v>
      </c>
      <c r="JN70" s="9">
        <v>23.97974269644001</v>
      </c>
      <c r="JO70" s="9">
        <v>26.874074964460018</v>
      </c>
      <c r="JP70" s="9">
        <v>25.043733816479996</v>
      </c>
      <c r="JQ70" s="9">
        <v>28.761212881119999</v>
      </c>
      <c r="JR70" s="9">
        <v>31.28798126952001</v>
      </c>
      <c r="JS70" s="9">
        <v>29.206986685420024</v>
      </c>
      <c r="JT70" s="9">
        <v>31.635035925499999</v>
      </c>
      <c r="JU70" s="9">
        <v>30.439516521760002</v>
      </c>
      <c r="JV70" s="9">
        <v>33.95359633977997</v>
      </c>
      <c r="JW70" s="9">
        <v>40.186767733399968</v>
      </c>
      <c r="JX70" s="9">
        <v>47.972781324509981</v>
      </c>
      <c r="JY70" s="9">
        <v>27.007548593329982</v>
      </c>
      <c r="JZ70" s="9">
        <v>28.582709452080003</v>
      </c>
      <c r="KA70" s="9">
        <v>30.646582834559965</v>
      </c>
      <c r="KB70" s="9">
        <v>31.02107128366001</v>
      </c>
      <c r="KC70" s="9">
        <v>31.757120338169987</v>
      </c>
      <c r="KD70" s="9">
        <v>34.262235050749993</v>
      </c>
      <c r="KE70" s="9">
        <v>27.169102420899975</v>
      </c>
      <c r="KF70" s="9">
        <v>34.181468553580004</v>
      </c>
      <c r="KG70" s="9">
        <v>26.412645250850005</v>
      </c>
      <c r="KH70" s="9">
        <v>24.060488658150017</v>
      </c>
      <c r="KI70" s="9">
        <v>23.805254515209985</v>
      </c>
      <c r="KJ70" s="9">
        <v>35.837163666719988</v>
      </c>
      <c r="KK70" s="9">
        <v>32.380308288270015</v>
      </c>
      <c r="KL70" s="9">
        <v>31.938457646770036</v>
      </c>
      <c r="KM70" s="9">
        <v>29.848170895106364</v>
      </c>
      <c r="KN70" s="9">
        <v>27.157445890158499</v>
      </c>
      <c r="KO70" s="9">
        <v>25.746970690279994</v>
      </c>
      <c r="KP70" s="9">
        <v>30.784555153629992</v>
      </c>
      <c r="KQ70" s="9">
        <v>28.098809922560058</v>
      </c>
      <c r="KR70" s="9">
        <v>27.755023329099991</v>
      </c>
      <c r="KS70" s="9">
        <v>27.273134397699977</v>
      </c>
      <c r="KT70" s="9">
        <v>35.438356813530021</v>
      </c>
      <c r="KU70" s="9">
        <v>37.919812985139963</v>
      </c>
      <c r="KV70" s="9">
        <v>42.789819110310063</v>
      </c>
      <c r="KW70" s="9">
        <v>46.727678107569957</v>
      </c>
      <c r="KX70" s="9">
        <v>39.453080121440088</v>
      </c>
      <c r="KY70" s="9">
        <v>40.105237165490003</v>
      </c>
      <c r="KZ70" s="9">
        <v>43.670056329969988</v>
      </c>
      <c r="LA70" s="9">
        <v>40.512625675669952</v>
      </c>
      <c r="LB70" s="9">
        <v>36.955929375390063</v>
      </c>
      <c r="LC70" s="9">
        <v>41.522501659529972</v>
      </c>
      <c r="LD70" s="9">
        <v>38.938206448314986</v>
      </c>
      <c r="LE70" s="9">
        <v>36.353911237100021</v>
      </c>
      <c r="LF70" s="9">
        <v>43.371016213240011</v>
      </c>
      <c r="LG70" s="9">
        <v>46.727340906730085</v>
      </c>
      <c r="LH70" s="9">
        <v>54.291458994040077</v>
      </c>
      <c r="LI70" s="9">
        <v>48.129938704670046</v>
      </c>
      <c r="LJ70" s="9">
        <v>49.716246201813405</v>
      </c>
      <c r="LK70" s="9">
        <v>50.712547966841186</v>
      </c>
      <c r="LL70" s="9">
        <v>42.868192958600055</v>
      </c>
      <c r="LM70" s="9">
        <v>49.731953770530012</v>
      </c>
      <c r="LN70" s="9">
        <v>40.169895844019962</v>
      </c>
      <c r="LO70" s="9">
        <v>39.846456799019997</v>
      </c>
      <c r="LP70" s="9">
        <v>38.120804379999925</v>
      </c>
      <c r="LQ70" s="9">
        <v>36.196526191140059</v>
      </c>
      <c r="LR70" s="9">
        <v>38.054595790053327</v>
      </c>
      <c r="LS70" s="9">
        <v>37.457308787064434</v>
      </c>
      <c r="LT70" s="9">
        <v>37.236143589419278</v>
      </c>
      <c r="LU70" s="149"/>
    </row>
    <row r="71" spans="1:447" x14ac:dyDescent="0.3"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</row>
    <row r="72" spans="1:447" x14ac:dyDescent="0.3"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</row>
    <row r="73" spans="1:447" x14ac:dyDescent="0.3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  <c r="BF73" s="27"/>
      <c r="BG73" s="27"/>
      <c r="BH73" s="27"/>
      <c r="BI73" s="27"/>
      <c r="BJ73" s="27"/>
      <c r="BK73" s="27"/>
      <c r="BL73" s="27"/>
      <c r="BM73" s="27"/>
      <c r="BN73" s="27"/>
      <c r="BO73" s="27"/>
      <c r="BP73" s="27"/>
      <c r="BQ73" s="27"/>
      <c r="BR73" s="27"/>
      <c r="BS73" s="27"/>
      <c r="BT73" s="27"/>
      <c r="BU73" s="27"/>
      <c r="BV73" s="27"/>
      <c r="BW73" s="27"/>
      <c r="BX73" s="27"/>
      <c r="BY73" s="27"/>
      <c r="BZ73" s="27"/>
      <c r="CA73" s="27"/>
      <c r="CB73" s="27"/>
      <c r="CC73" s="27"/>
      <c r="CD73" s="27"/>
      <c r="CE73" s="27"/>
      <c r="CF73" s="27"/>
      <c r="CG73" s="27"/>
      <c r="CH73" s="27"/>
      <c r="CI73" s="27"/>
      <c r="CJ73" s="27"/>
      <c r="CK73" s="27"/>
      <c r="CL73" s="27"/>
      <c r="CM73" s="27"/>
      <c r="CN73" s="27"/>
      <c r="CO73" s="27"/>
      <c r="CP73" s="27"/>
      <c r="CQ73" s="27"/>
      <c r="CR73" s="27"/>
      <c r="CS73" s="27"/>
      <c r="CT73" s="27"/>
      <c r="CU73" s="27"/>
      <c r="CV73" s="27"/>
      <c r="CW73" s="27"/>
      <c r="CX73" s="27"/>
      <c r="CY73" s="27"/>
      <c r="CZ73" s="27"/>
      <c r="DA73" s="27"/>
      <c r="DB73" s="27"/>
      <c r="DC73" s="27"/>
      <c r="DD73" s="27"/>
      <c r="DE73" s="27"/>
      <c r="DF73" s="27"/>
      <c r="DG73" s="27"/>
      <c r="DH73" s="27"/>
      <c r="DI73" s="27"/>
      <c r="DJ73" s="27"/>
      <c r="DK73" s="27"/>
      <c r="DL73" s="27"/>
      <c r="DM73" s="27"/>
      <c r="DN73" s="27"/>
      <c r="DO73" s="27"/>
      <c r="DP73" s="27"/>
      <c r="DQ73" s="27"/>
      <c r="DR73" s="27"/>
      <c r="DS73" s="27"/>
      <c r="DT73" s="27"/>
      <c r="DU73" s="27"/>
      <c r="DV73" s="27"/>
      <c r="DW73" s="27"/>
      <c r="DX73" s="27"/>
      <c r="DY73" s="27"/>
      <c r="DZ73" s="27"/>
      <c r="EA73" s="27"/>
      <c r="EB73" s="27"/>
      <c r="EC73" s="27"/>
      <c r="ED73" s="27"/>
      <c r="EE73" s="27"/>
      <c r="EF73" s="27"/>
      <c r="EG73" s="27"/>
      <c r="EH73" s="27"/>
      <c r="EI73" s="27"/>
      <c r="EJ73" s="27"/>
      <c r="EK73" s="27"/>
      <c r="EL73" s="27"/>
      <c r="EM73" s="27"/>
      <c r="EN73" s="27"/>
      <c r="EO73" s="27"/>
      <c r="EP73" s="27"/>
      <c r="EQ73" s="27"/>
      <c r="ER73" s="27"/>
      <c r="ES73" s="27"/>
      <c r="ET73" s="27"/>
      <c r="EU73" s="27"/>
      <c r="EV73" s="27"/>
      <c r="EW73" s="27"/>
      <c r="EX73" s="27"/>
      <c r="EY73" s="27"/>
      <c r="EZ73" s="27"/>
      <c r="FA73" s="27"/>
      <c r="FB73" s="27"/>
      <c r="FC73" s="27"/>
      <c r="FD73" s="27"/>
      <c r="FE73" s="27"/>
      <c r="FF73" s="27"/>
      <c r="FG73" s="27"/>
      <c r="FH73" s="27"/>
      <c r="FI73" s="27"/>
      <c r="FJ73" s="27"/>
      <c r="FK73" s="27"/>
      <c r="FL73" s="27"/>
      <c r="FM73" s="27"/>
      <c r="FN73" s="27"/>
      <c r="FO73" s="27"/>
      <c r="FP73" s="27"/>
      <c r="FQ73" s="27"/>
      <c r="FR73" s="27"/>
      <c r="FS73" s="27"/>
      <c r="FT73" s="27"/>
      <c r="FU73" s="27"/>
      <c r="FV73" s="27"/>
      <c r="FW73" s="27"/>
      <c r="FX73" s="27"/>
      <c r="FY73" s="27"/>
      <c r="FZ73" s="27"/>
      <c r="GA73" s="27"/>
      <c r="GB73" s="27"/>
      <c r="GC73" s="27"/>
      <c r="GD73" s="27"/>
      <c r="GE73" s="27"/>
      <c r="GF73" s="27"/>
      <c r="GG73" s="27"/>
      <c r="GH73" s="27"/>
      <c r="GI73" s="27"/>
      <c r="GJ73" s="27"/>
      <c r="GK73" s="27"/>
      <c r="GL73" s="27"/>
      <c r="GM73" s="27"/>
      <c r="GN73" s="27"/>
      <c r="GO73" s="27"/>
      <c r="GP73" s="27"/>
      <c r="GQ73" s="27"/>
      <c r="GR73" s="27"/>
      <c r="GS73" s="27"/>
      <c r="GT73" s="27"/>
      <c r="GU73" s="27"/>
      <c r="GV73" s="27"/>
      <c r="GW73" s="27"/>
      <c r="GX73" s="27"/>
      <c r="GY73" s="27"/>
      <c r="GZ73" s="27"/>
      <c r="HA73" s="27"/>
      <c r="HB73" s="27"/>
      <c r="HC73" s="27"/>
      <c r="HD73" s="27"/>
      <c r="HE73" s="27"/>
      <c r="HF73" s="27"/>
      <c r="HG73" s="27"/>
      <c r="HH73" s="27"/>
      <c r="HI73" s="27"/>
      <c r="HJ73" s="27"/>
      <c r="HK73" s="27"/>
      <c r="HL73" s="27"/>
      <c r="HM73" s="27"/>
      <c r="HN73" s="27"/>
      <c r="HO73" s="27"/>
      <c r="HP73" s="27"/>
      <c r="HQ73" s="27"/>
      <c r="HR73" s="27"/>
      <c r="HS73" s="27"/>
      <c r="HT73" s="27"/>
      <c r="HU73" s="27"/>
      <c r="HV73" s="27"/>
      <c r="HW73" s="27"/>
      <c r="HX73" s="27"/>
      <c r="HY73" s="27"/>
      <c r="HZ73" s="27"/>
      <c r="IA73" s="27"/>
      <c r="IB73" s="27"/>
      <c r="IC73" s="27"/>
      <c r="ID73" s="27"/>
      <c r="IE73" s="27"/>
      <c r="IF73" s="27"/>
      <c r="IG73" s="27"/>
      <c r="IH73" s="27"/>
      <c r="II73" s="27"/>
      <c r="IJ73" s="27"/>
      <c r="IK73" s="27"/>
      <c r="IL73" s="27"/>
      <c r="IM73" s="27"/>
      <c r="IN73" s="27"/>
      <c r="IO73" s="27"/>
      <c r="IP73" s="27"/>
      <c r="IQ73" s="27"/>
      <c r="IR73" s="27"/>
      <c r="IS73" s="27"/>
      <c r="IT73" s="27"/>
      <c r="IU73" s="27"/>
      <c r="IV73" s="27"/>
      <c r="IW73" s="27"/>
      <c r="IX73" s="27"/>
      <c r="IY73" s="27"/>
      <c r="IZ73" s="27"/>
      <c r="JA73" s="27"/>
      <c r="JB73" s="27"/>
      <c r="JC73" s="27"/>
      <c r="JD73" s="27"/>
      <c r="JE73" s="27"/>
      <c r="JF73" s="27"/>
      <c r="JG73" s="27"/>
      <c r="JH73" s="27"/>
      <c r="JI73" s="27"/>
      <c r="JJ73" s="27"/>
      <c r="JK73" s="27"/>
      <c r="JL73" s="27"/>
      <c r="JM73" s="27"/>
      <c r="JN73" s="27"/>
      <c r="JO73" s="27"/>
      <c r="JP73" s="27"/>
      <c r="JQ73" s="27"/>
      <c r="JR73" s="27"/>
      <c r="JS73" s="27"/>
      <c r="JT73" s="27"/>
      <c r="JU73" s="27"/>
      <c r="JV73" s="27"/>
      <c r="JW73" s="27"/>
      <c r="JX73" s="27"/>
      <c r="JY73" s="27"/>
      <c r="JZ73" s="27"/>
      <c r="KA73" s="27"/>
      <c r="KB73" s="27"/>
      <c r="KC73" s="27"/>
      <c r="KD73" s="27"/>
      <c r="KE73" s="27"/>
      <c r="KF73" s="27"/>
      <c r="KG73" s="27"/>
      <c r="KH73" s="27"/>
      <c r="KI73" s="27"/>
      <c r="KJ73" s="27"/>
      <c r="KK73" s="27"/>
      <c r="KL73" s="27"/>
      <c r="KM73" s="27"/>
      <c r="KN73" s="27"/>
      <c r="KO73" s="27"/>
      <c r="KP73" s="27"/>
      <c r="KQ73" s="27"/>
      <c r="KR73" s="27"/>
      <c r="KS73" s="27"/>
      <c r="KT73" s="27"/>
      <c r="KU73" s="27"/>
      <c r="KV73" s="27"/>
      <c r="KW73" s="27"/>
      <c r="KX73" s="27"/>
      <c r="KY73" s="27"/>
      <c r="KZ73" s="27"/>
      <c r="LA73" s="27"/>
      <c r="LB73" s="27"/>
      <c r="LC73" s="27"/>
      <c r="LD73" s="27"/>
      <c r="LE73" s="27"/>
      <c r="LF73" s="27"/>
      <c r="LG73" s="27"/>
      <c r="LH73" s="27"/>
      <c r="LI73" s="27"/>
      <c r="LJ73" s="27"/>
      <c r="LK73" s="27"/>
      <c r="LL73" s="27"/>
      <c r="LM73" s="27"/>
      <c r="LN73" s="27"/>
      <c r="LO73" s="27"/>
      <c r="LP73" s="27"/>
      <c r="LQ73" s="27"/>
      <c r="LR73" s="27"/>
      <c r="LS73" s="27"/>
      <c r="LT73" s="27"/>
    </row>
    <row r="75" spans="1:447" x14ac:dyDescent="0.3">
      <c r="DJ75" s="29"/>
      <c r="DK75" s="29"/>
      <c r="DL75" s="29"/>
    </row>
    <row r="76" spans="1:447" s="29" customFormat="1" ht="21" x14ac:dyDescent="0.4">
      <c r="A76" s="128" t="s">
        <v>80</v>
      </c>
      <c r="B76" s="30"/>
      <c r="CU76" s="31"/>
      <c r="CV76" s="31"/>
      <c r="CW76" s="31"/>
      <c r="CX76" s="31"/>
      <c r="CY76" s="31"/>
      <c r="CZ76" s="31"/>
      <c r="DM76" s="31"/>
      <c r="DN76" s="31"/>
      <c r="DO76" s="31"/>
      <c r="DP76" s="31"/>
      <c r="DQ76" s="31"/>
      <c r="DR76" s="31"/>
      <c r="DS76" s="31"/>
      <c r="DT76" s="31"/>
      <c r="DU76" s="31"/>
      <c r="DV76" s="31"/>
      <c r="DW76" s="31"/>
      <c r="DX76" s="31"/>
    </row>
    <row r="77" spans="1:447" s="29" customFormat="1" ht="21" x14ac:dyDescent="0.4">
      <c r="A77" s="128" t="s">
        <v>114</v>
      </c>
      <c r="B77" s="30"/>
      <c r="DX77" s="32"/>
      <c r="DY77" s="32"/>
      <c r="DZ77" s="32"/>
      <c r="EA77" s="32"/>
      <c r="EB77" s="32"/>
      <c r="EC77" s="32"/>
      <c r="ED77" s="32"/>
    </row>
    <row r="78" spans="1:447" s="29" customFormat="1" x14ac:dyDescent="0.3">
      <c r="A78" s="33"/>
      <c r="B78" s="33"/>
    </row>
    <row r="79" spans="1:447" s="37" customFormat="1" x14ac:dyDescent="0.3">
      <c r="A79" s="34"/>
      <c r="B79" s="35" t="s">
        <v>82</v>
      </c>
      <c r="C79" s="36">
        <v>33449</v>
      </c>
      <c r="D79" s="36">
        <v>33480</v>
      </c>
      <c r="E79" s="36">
        <v>33511</v>
      </c>
      <c r="F79" s="36">
        <v>33541</v>
      </c>
      <c r="G79" s="36">
        <v>33572</v>
      </c>
      <c r="H79" s="36">
        <v>33602</v>
      </c>
      <c r="I79" s="36">
        <v>33633</v>
      </c>
      <c r="J79" s="36">
        <v>33662</v>
      </c>
      <c r="K79" s="36">
        <v>33693</v>
      </c>
      <c r="L79" s="36">
        <v>33724</v>
      </c>
      <c r="M79" s="36">
        <v>33754</v>
      </c>
      <c r="N79" s="36">
        <v>33785</v>
      </c>
      <c r="O79" s="36">
        <v>33815</v>
      </c>
      <c r="P79" s="36">
        <v>33846</v>
      </c>
      <c r="Q79" s="36">
        <v>33877</v>
      </c>
      <c r="R79" s="36">
        <v>33907</v>
      </c>
      <c r="S79" s="36">
        <v>33938</v>
      </c>
      <c r="T79" s="36">
        <v>33968</v>
      </c>
      <c r="U79" s="36">
        <v>33999</v>
      </c>
      <c r="V79" s="36">
        <v>34028</v>
      </c>
      <c r="W79" s="36">
        <v>34058</v>
      </c>
      <c r="X79" s="36">
        <v>34089</v>
      </c>
      <c r="Y79" s="36">
        <v>34119</v>
      </c>
      <c r="Z79" s="36">
        <v>34150</v>
      </c>
      <c r="AA79" s="36">
        <v>34180</v>
      </c>
      <c r="AB79" s="36">
        <v>34211</v>
      </c>
      <c r="AC79" s="36">
        <v>34242</v>
      </c>
      <c r="AD79" s="36">
        <v>34272</v>
      </c>
      <c r="AE79" s="36">
        <v>34303</v>
      </c>
      <c r="AF79" s="36">
        <v>34333</v>
      </c>
      <c r="AG79" s="36">
        <v>34364</v>
      </c>
      <c r="AH79" s="36">
        <v>34393</v>
      </c>
      <c r="AI79" s="36">
        <v>34423</v>
      </c>
      <c r="AJ79" s="36">
        <v>34454</v>
      </c>
      <c r="AK79" s="36">
        <v>34484</v>
      </c>
      <c r="AL79" s="36">
        <v>34515</v>
      </c>
      <c r="AM79" s="36">
        <v>34545</v>
      </c>
      <c r="AN79" s="36">
        <v>34576</v>
      </c>
      <c r="AO79" s="36">
        <v>34607</v>
      </c>
      <c r="AP79" s="36">
        <v>34637</v>
      </c>
      <c r="AQ79" s="36">
        <v>34668</v>
      </c>
      <c r="AR79" s="36">
        <v>34698</v>
      </c>
      <c r="AS79" s="36">
        <v>34729</v>
      </c>
      <c r="AT79" s="36">
        <v>34758</v>
      </c>
      <c r="AU79" s="36">
        <v>34788</v>
      </c>
      <c r="AV79" s="36">
        <v>34819</v>
      </c>
      <c r="AW79" s="36">
        <v>34849</v>
      </c>
      <c r="AX79" s="36">
        <v>34880</v>
      </c>
      <c r="AY79" s="36">
        <v>34910</v>
      </c>
      <c r="AZ79" s="36">
        <v>34941</v>
      </c>
      <c r="BA79" s="36">
        <v>34972</v>
      </c>
      <c r="BB79" s="36">
        <v>35002</v>
      </c>
      <c r="BC79" s="36">
        <v>35033</v>
      </c>
      <c r="BD79" s="36">
        <v>35063</v>
      </c>
      <c r="BE79" s="36">
        <v>35094</v>
      </c>
      <c r="BF79" s="36">
        <v>35123</v>
      </c>
      <c r="BG79" s="36">
        <v>35154</v>
      </c>
      <c r="BH79" s="36">
        <v>35185</v>
      </c>
      <c r="BI79" s="36">
        <v>35215</v>
      </c>
      <c r="BJ79" s="36">
        <v>35246</v>
      </c>
      <c r="BK79" s="36">
        <v>35276</v>
      </c>
      <c r="BL79" s="36">
        <v>35307</v>
      </c>
      <c r="BM79" s="36">
        <v>35338</v>
      </c>
      <c r="BN79" s="36">
        <v>35368</v>
      </c>
      <c r="BO79" s="36">
        <v>35399</v>
      </c>
      <c r="BP79" s="36">
        <v>35429</v>
      </c>
      <c r="BQ79" s="36">
        <v>35460</v>
      </c>
      <c r="BR79" s="36">
        <v>35489</v>
      </c>
      <c r="BS79" s="36">
        <v>35519</v>
      </c>
      <c r="BT79" s="36">
        <v>35550</v>
      </c>
      <c r="BU79" s="36">
        <v>35580</v>
      </c>
      <c r="BV79" s="36">
        <v>35611</v>
      </c>
      <c r="BW79" s="36">
        <v>35641</v>
      </c>
      <c r="BX79" s="36">
        <v>35672</v>
      </c>
      <c r="BY79" s="36">
        <v>35703</v>
      </c>
      <c r="BZ79" s="36">
        <v>35733</v>
      </c>
      <c r="CA79" s="36">
        <v>35764</v>
      </c>
      <c r="CB79" s="36">
        <v>35794</v>
      </c>
      <c r="CC79" s="36">
        <v>35825</v>
      </c>
      <c r="CD79" s="36">
        <v>35854</v>
      </c>
      <c r="CE79" s="36">
        <v>35884</v>
      </c>
      <c r="CF79" s="36">
        <v>35915</v>
      </c>
      <c r="CG79" s="36">
        <v>35945</v>
      </c>
      <c r="CH79" s="36">
        <v>35976</v>
      </c>
      <c r="CI79" s="36">
        <v>36006</v>
      </c>
      <c r="CJ79" s="36">
        <v>36037</v>
      </c>
      <c r="CK79" s="36">
        <v>36068</v>
      </c>
      <c r="CL79" s="36">
        <v>36098</v>
      </c>
      <c r="CM79" s="36">
        <v>36129</v>
      </c>
      <c r="CN79" s="36">
        <v>36159</v>
      </c>
      <c r="CO79" s="36">
        <v>36190</v>
      </c>
      <c r="CP79" s="36">
        <v>36219</v>
      </c>
      <c r="CQ79" s="36">
        <v>36249</v>
      </c>
      <c r="CR79" s="36">
        <v>36280</v>
      </c>
      <c r="CS79" s="36">
        <v>36310</v>
      </c>
      <c r="CT79" s="36">
        <v>36341</v>
      </c>
      <c r="CU79" s="36">
        <v>36371</v>
      </c>
      <c r="CV79" s="36">
        <v>36402</v>
      </c>
      <c r="CW79" s="36">
        <v>36433</v>
      </c>
      <c r="CX79" s="36">
        <v>36463</v>
      </c>
      <c r="CY79" s="36">
        <v>36494</v>
      </c>
      <c r="CZ79" s="36">
        <v>36524</v>
      </c>
      <c r="DA79" s="36">
        <v>36555</v>
      </c>
      <c r="DB79" s="36">
        <v>36584</v>
      </c>
      <c r="DC79" s="36">
        <v>36615</v>
      </c>
      <c r="DD79" s="36">
        <v>36646</v>
      </c>
      <c r="DE79" s="36">
        <v>36676</v>
      </c>
      <c r="DF79" s="36">
        <v>36707</v>
      </c>
      <c r="DG79" s="36">
        <v>36737</v>
      </c>
      <c r="DH79" s="36">
        <v>36768</v>
      </c>
      <c r="DI79" s="36">
        <v>36799</v>
      </c>
      <c r="DJ79" s="36">
        <v>36829</v>
      </c>
      <c r="DK79" s="36">
        <v>36860</v>
      </c>
      <c r="DL79" s="36">
        <v>36890</v>
      </c>
      <c r="DM79" s="36">
        <v>36921</v>
      </c>
      <c r="DN79" s="36">
        <v>36950</v>
      </c>
      <c r="DO79" s="36">
        <v>36980</v>
      </c>
      <c r="DP79" s="36">
        <v>37011</v>
      </c>
      <c r="DQ79" s="36">
        <v>37041</v>
      </c>
      <c r="DR79" s="36">
        <v>37072</v>
      </c>
      <c r="DS79" s="36">
        <v>37102</v>
      </c>
      <c r="DT79" s="36">
        <v>37133</v>
      </c>
      <c r="DU79" s="36">
        <v>37164</v>
      </c>
      <c r="DV79" s="36">
        <v>37194</v>
      </c>
      <c r="DW79" s="36">
        <v>37225</v>
      </c>
      <c r="DX79" s="36">
        <v>37255</v>
      </c>
      <c r="DY79" s="36">
        <v>37286</v>
      </c>
      <c r="DZ79" s="36">
        <v>37315</v>
      </c>
      <c r="EA79" s="36">
        <v>37345</v>
      </c>
      <c r="EB79" s="36">
        <v>37376</v>
      </c>
      <c r="EC79" s="36">
        <v>37406</v>
      </c>
      <c r="ED79" s="36">
        <v>37437</v>
      </c>
      <c r="EE79" s="36">
        <v>37467</v>
      </c>
      <c r="EF79" s="36">
        <v>37498</v>
      </c>
      <c r="EG79" s="36">
        <v>37529</v>
      </c>
      <c r="EH79" s="36">
        <v>37559</v>
      </c>
      <c r="EI79" s="36">
        <v>37590</v>
      </c>
      <c r="EJ79" s="36">
        <v>37620</v>
      </c>
      <c r="EK79" s="36">
        <v>37651</v>
      </c>
      <c r="EL79" s="36">
        <v>37680</v>
      </c>
      <c r="EM79" s="36">
        <v>37710</v>
      </c>
      <c r="EN79" s="36">
        <v>37741</v>
      </c>
      <c r="EO79" s="36">
        <v>37771</v>
      </c>
      <c r="EP79" s="36">
        <v>37802</v>
      </c>
      <c r="EQ79" s="36">
        <v>37832</v>
      </c>
      <c r="ER79" s="36">
        <v>37863</v>
      </c>
      <c r="ES79" s="36">
        <v>37894</v>
      </c>
      <c r="ET79" s="36">
        <v>37924</v>
      </c>
      <c r="EU79" s="36">
        <v>37955</v>
      </c>
      <c r="EV79" s="36">
        <v>37985</v>
      </c>
      <c r="EW79" s="36">
        <v>38016</v>
      </c>
      <c r="EX79" s="36">
        <v>38045</v>
      </c>
      <c r="EY79" s="36">
        <v>38076</v>
      </c>
      <c r="EZ79" s="36">
        <v>38107</v>
      </c>
      <c r="FA79" s="36">
        <v>38137</v>
      </c>
      <c r="FB79" s="36">
        <v>38168</v>
      </c>
      <c r="FC79" s="36">
        <v>38198</v>
      </c>
      <c r="FD79" s="36">
        <v>38229</v>
      </c>
      <c r="FE79" s="36">
        <v>38260</v>
      </c>
      <c r="FF79" s="36">
        <v>38290</v>
      </c>
      <c r="FG79" s="36">
        <v>38321</v>
      </c>
      <c r="FH79" s="36">
        <v>38351</v>
      </c>
      <c r="FI79" s="36">
        <v>38382</v>
      </c>
      <c r="FJ79" s="36">
        <v>38411</v>
      </c>
      <c r="FK79" s="36">
        <v>38441</v>
      </c>
      <c r="FL79" s="36">
        <v>38472</v>
      </c>
      <c r="FM79" s="36">
        <v>38502</v>
      </c>
      <c r="FN79" s="36">
        <v>38533</v>
      </c>
      <c r="FO79" s="36">
        <v>38563</v>
      </c>
      <c r="FP79" s="36">
        <v>38594</v>
      </c>
      <c r="FQ79" s="36">
        <v>38625</v>
      </c>
      <c r="FR79" s="36">
        <v>38655</v>
      </c>
      <c r="FS79" s="36">
        <v>38686</v>
      </c>
      <c r="FT79" s="36">
        <v>38716</v>
      </c>
      <c r="FU79" s="36">
        <v>38747</v>
      </c>
      <c r="FV79" s="36">
        <v>38776</v>
      </c>
      <c r="FW79" s="36">
        <v>38806</v>
      </c>
      <c r="FX79" s="36">
        <v>38837</v>
      </c>
      <c r="FY79" s="36">
        <v>38867</v>
      </c>
      <c r="FZ79" s="36">
        <v>38898</v>
      </c>
      <c r="GA79" s="36">
        <v>38929</v>
      </c>
      <c r="GB79" s="36">
        <v>38960</v>
      </c>
      <c r="GC79" s="36">
        <v>38990</v>
      </c>
      <c r="GD79" s="36">
        <v>39021</v>
      </c>
      <c r="GE79" s="36">
        <v>39051</v>
      </c>
      <c r="GF79" s="36">
        <v>39082</v>
      </c>
      <c r="GG79" s="36">
        <v>39113</v>
      </c>
      <c r="GH79" s="36">
        <v>39141</v>
      </c>
      <c r="GI79" s="36">
        <v>39172</v>
      </c>
      <c r="GJ79" s="36">
        <v>39202</v>
      </c>
      <c r="GK79" s="36">
        <v>39233</v>
      </c>
      <c r="GL79" s="36">
        <v>39263</v>
      </c>
      <c r="GM79" s="36">
        <v>39294</v>
      </c>
      <c r="GN79" s="36">
        <v>39325</v>
      </c>
      <c r="GO79" s="36">
        <v>39355</v>
      </c>
      <c r="GP79" s="36">
        <v>39386</v>
      </c>
      <c r="GQ79" s="36">
        <v>39416</v>
      </c>
      <c r="GR79" s="36">
        <v>39447</v>
      </c>
      <c r="GS79" s="36">
        <v>39478</v>
      </c>
      <c r="GT79" s="36">
        <v>39507</v>
      </c>
      <c r="GU79" s="36">
        <v>39538</v>
      </c>
      <c r="GV79" s="36">
        <v>39568</v>
      </c>
      <c r="GW79" s="36">
        <v>39576</v>
      </c>
      <c r="GX79" s="36">
        <v>39607</v>
      </c>
      <c r="GY79" s="36">
        <v>39637</v>
      </c>
      <c r="GZ79" s="36">
        <v>39668</v>
      </c>
      <c r="HA79" s="36">
        <v>39699</v>
      </c>
      <c r="HB79" s="36">
        <v>39729</v>
      </c>
      <c r="HC79" s="36">
        <v>39760</v>
      </c>
      <c r="HD79" s="36">
        <v>39790</v>
      </c>
      <c r="HE79" s="36">
        <v>39821</v>
      </c>
      <c r="HF79" s="36">
        <v>39852</v>
      </c>
      <c r="HG79" s="36">
        <v>39880</v>
      </c>
      <c r="HH79" s="36">
        <v>39911</v>
      </c>
      <c r="HI79" s="36">
        <v>39941</v>
      </c>
      <c r="HJ79" s="36">
        <v>39972</v>
      </c>
      <c r="HK79" s="36">
        <v>40002</v>
      </c>
      <c r="HL79" s="36">
        <v>40033</v>
      </c>
      <c r="HM79" s="36">
        <v>40064</v>
      </c>
      <c r="HN79" s="36">
        <v>40094</v>
      </c>
      <c r="HO79" s="36">
        <v>40125</v>
      </c>
      <c r="HP79" s="36">
        <v>40155</v>
      </c>
      <c r="HQ79" s="36">
        <v>40186</v>
      </c>
      <c r="HR79" s="36">
        <v>40217</v>
      </c>
      <c r="HS79" s="36">
        <v>40245</v>
      </c>
      <c r="HT79" s="36">
        <v>40276</v>
      </c>
      <c r="HU79" s="36">
        <v>40306</v>
      </c>
      <c r="HV79" s="36">
        <v>40337</v>
      </c>
      <c r="HW79" s="36">
        <v>40367</v>
      </c>
      <c r="HX79" s="36">
        <v>40398</v>
      </c>
      <c r="HY79" s="36">
        <v>40429</v>
      </c>
      <c r="HZ79" s="36">
        <v>40459</v>
      </c>
      <c r="IA79" s="36">
        <v>40490</v>
      </c>
      <c r="IB79" s="36">
        <v>40520</v>
      </c>
      <c r="IC79" s="36">
        <v>40551</v>
      </c>
      <c r="ID79" s="36">
        <v>40582</v>
      </c>
      <c r="IE79" s="36">
        <v>40610</v>
      </c>
      <c r="IF79" s="36">
        <v>40641</v>
      </c>
      <c r="IG79" s="36">
        <v>40671</v>
      </c>
      <c r="IH79" s="36">
        <v>40702</v>
      </c>
      <c r="II79" s="36">
        <v>40732</v>
      </c>
      <c r="IJ79" s="36">
        <v>40763</v>
      </c>
      <c r="IK79" s="36">
        <v>40794</v>
      </c>
      <c r="IL79" s="36">
        <v>40824</v>
      </c>
      <c r="IM79" s="36">
        <v>40855</v>
      </c>
      <c r="IN79" s="36">
        <v>40885</v>
      </c>
      <c r="IO79" s="36">
        <v>40916</v>
      </c>
      <c r="IP79" s="36">
        <v>40947</v>
      </c>
      <c r="IQ79" s="36">
        <v>40976</v>
      </c>
      <c r="IR79" s="36">
        <v>41007</v>
      </c>
      <c r="IS79" s="36">
        <v>41037</v>
      </c>
      <c r="IT79" s="36">
        <v>41068</v>
      </c>
      <c r="IU79" s="36">
        <v>41098</v>
      </c>
      <c r="IV79" s="36">
        <v>41129</v>
      </c>
      <c r="IW79" s="36">
        <v>41160</v>
      </c>
      <c r="IX79" s="36">
        <v>41190</v>
      </c>
      <c r="IY79" s="36">
        <v>41221</v>
      </c>
      <c r="IZ79" s="36">
        <v>41251</v>
      </c>
      <c r="JA79" s="36">
        <v>41282</v>
      </c>
      <c r="JB79" s="36">
        <v>41313</v>
      </c>
      <c r="JC79" s="36">
        <v>41341</v>
      </c>
      <c r="JD79" s="36">
        <v>41372</v>
      </c>
      <c r="JE79" s="36">
        <v>41402</v>
      </c>
      <c r="JF79" s="36">
        <v>41433</v>
      </c>
      <c r="JG79" s="36">
        <v>41463</v>
      </c>
      <c r="JH79" s="36">
        <v>41494</v>
      </c>
      <c r="JI79" s="36">
        <v>41525</v>
      </c>
      <c r="JJ79" s="36">
        <v>41555</v>
      </c>
      <c r="JK79" s="36">
        <v>41586</v>
      </c>
      <c r="JL79" s="36">
        <v>41616</v>
      </c>
      <c r="JM79" s="36">
        <v>41647</v>
      </c>
      <c r="JN79" s="36">
        <v>41678</v>
      </c>
      <c r="JO79" s="36">
        <v>41706</v>
      </c>
      <c r="JP79" s="36">
        <v>41737</v>
      </c>
      <c r="JQ79" s="36">
        <v>41767</v>
      </c>
      <c r="JR79" s="36">
        <v>41798</v>
      </c>
      <c r="JS79" s="36">
        <v>41828</v>
      </c>
      <c r="JT79" s="36">
        <v>41859</v>
      </c>
      <c r="JU79" s="36">
        <v>41890</v>
      </c>
      <c r="JV79" s="36">
        <v>41920</v>
      </c>
      <c r="JW79" s="36">
        <v>41951</v>
      </c>
      <c r="JX79" s="36">
        <v>41981</v>
      </c>
      <c r="JY79" s="36">
        <v>42012</v>
      </c>
      <c r="JZ79" s="36">
        <v>42036</v>
      </c>
      <c r="KA79" s="36">
        <v>42064</v>
      </c>
      <c r="KB79" s="36">
        <v>42095</v>
      </c>
      <c r="KC79" s="36">
        <v>42125</v>
      </c>
      <c r="KD79" s="36">
        <v>42156</v>
      </c>
      <c r="KE79" s="36">
        <v>42186</v>
      </c>
      <c r="KF79" s="36">
        <v>42217</v>
      </c>
      <c r="KG79" s="36">
        <v>42248</v>
      </c>
      <c r="KH79" s="36">
        <v>42278</v>
      </c>
      <c r="KI79" s="36">
        <v>42309</v>
      </c>
      <c r="KJ79" s="36">
        <v>42339</v>
      </c>
      <c r="KK79" s="36">
        <v>42370</v>
      </c>
      <c r="KL79" s="36">
        <v>42401</v>
      </c>
      <c r="KM79" s="36">
        <v>42430</v>
      </c>
      <c r="KN79" s="36">
        <v>42461</v>
      </c>
      <c r="KO79" s="36">
        <v>42491</v>
      </c>
      <c r="KP79" s="36">
        <v>42522</v>
      </c>
      <c r="KQ79" s="36">
        <v>42552</v>
      </c>
      <c r="KR79" s="36">
        <v>42583</v>
      </c>
      <c r="KS79" s="36">
        <v>42614</v>
      </c>
      <c r="KT79" s="36">
        <v>42644</v>
      </c>
      <c r="KU79" s="36">
        <v>42675</v>
      </c>
      <c r="KV79" s="36">
        <v>42705</v>
      </c>
      <c r="KW79" s="36">
        <v>42736</v>
      </c>
      <c r="KX79" s="36">
        <v>42767</v>
      </c>
      <c r="KY79" s="36">
        <v>42795</v>
      </c>
      <c r="KZ79" s="36">
        <v>42826</v>
      </c>
      <c r="LA79" s="36">
        <v>42856</v>
      </c>
      <c r="LB79" s="36">
        <v>42887</v>
      </c>
      <c r="LC79" s="36">
        <v>42917</v>
      </c>
      <c r="LD79" s="36">
        <v>42948</v>
      </c>
      <c r="LE79" s="36">
        <v>42979</v>
      </c>
      <c r="LF79" s="36">
        <v>43009</v>
      </c>
      <c r="LG79" s="36">
        <v>43040</v>
      </c>
      <c r="LH79" s="36">
        <v>43070</v>
      </c>
      <c r="LI79" s="36">
        <v>43101</v>
      </c>
      <c r="LJ79" s="36">
        <v>43132</v>
      </c>
      <c r="LK79" s="36">
        <v>43160</v>
      </c>
      <c r="LL79" s="36">
        <v>43191</v>
      </c>
      <c r="LM79" s="36">
        <v>43221</v>
      </c>
      <c r="LN79" s="36">
        <v>43252</v>
      </c>
      <c r="LO79" s="36">
        <v>43282</v>
      </c>
      <c r="LP79" s="36">
        <v>43313</v>
      </c>
      <c r="LQ79" s="36">
        <v>43344</v>
      </c>
      <c r="LR79" s="36">
        <v>43374</v>
      </c>
      <c r="LS79" s="36">
        <v>43405</v>
      </c>
      <c r="LT79" s="36">
        <v>43435</v>
      </c>
      <c r="LU79" s="130"/>
      <c r="LV79" s="130"/>
      <c r="LW79" s="130"/>
      <c r="LX79" s="130"/>
      <c r="LY79" s="130"/>
      <c r="LZ79" s="130"/>
      <c r="MA79" s="130"/>
      <c r="MB79" s="130"/>
      <c r="MC79" s="130"/>
      <c r="MD79" s="130"/>
      <c r="ME79" s="130"/>
      <c r="MF79" s="130"/>
      <c r="MG79" s="130"/>
      <c r="MH79" s="130"/>
      <c r="MI79" s="130"/>
      <c r="MJ79" s="130"/>
      <c r="MK79" s="130"/>
      <c r="ML79" s="130"/>
      <c r="MM79" s="130"/>
      <c r="MN79" s="130"/>
      <c r="MO79" s="130"/>
      <c r="MP79" s="130"/>
      <c r="MQ79" s="130"/>
      <c r="MR79" s="130"/>
      <c r="MS79" s="130"/>
      <c r="MT79" s="130"/>
      <c r="MU79" s="130"/>
      <c r="MV79" s="130"/>
      <c r="MW79" s="130"/>
      <c r="MX79" s="130"/>
      <c r="MY79" s="130"/>
      <c r="MZ79" s="130"/>
      <c r="NA79" s="130"/>
      <c r="NB79" s="130"/>
      <c r="NC79" s="130"/>
      <c r="ND79" s="130"/>
      <c r="NE79" s="130"/>
      <c r="NF79" s="130"/>
      <c r="NG79" s="130"/>
      <c r="NH79" s="130"/>
      <c r="NI79" s="130"/>
      <c r="NJ79" s="130"/>
      <c r="NK79" s="130"/>
      <c r="NL79" s="130"/>
      <c r="NM79" s="130"/>
      <c r="NN79" s="130"/>
      <c r="NO79" s="130"/>
      <c r="NP79" s="130"/>
      <c r="NQ79" s="130"/>
      <c r="NR79" s="130"/>
      <c r="NS79" s="130"/>
      <c r="NT79" s="130"/>
      <c r="NU79" s="130"/>
      <c r="NV79" s="130"/>
      <c r="NW79" s="130"/>
      <c r="NX79" s="130"/>
      <c r="NY79" s="130"/>
      <c r="NZ79" s="130"/>
      <c r="OA79" s="130"/>
      <c r="OB79" s="130"/>
      <c r="OC79" s="130"/>
      <c r="OD79" s="130"/>
      <c r="OE79" s="130"/>
      <c r="OF79" s="130"/>
      <c r="OG79" s="130"/>
      <c r="OH79" s="130"/>
      <c r="OI79" s="130"/>
      <c r="OJ79" s="130"/>
      <c r="OK79" s="130"/>
      <c r="OL79" s="130"/>
      <c r="OM79" s="130"/>
      <c r="ON79" s="130"/>
      <c r="OO79" s="130"/>
      <c r="OP79" s="130"/>
      <c r="OQ79" s="130"/>
      <c r="OR79" s="130"/>
      <c r="OS79" s="130"/>
      <c r="OT79" s="130"/>
      <c r="OU79" s="130"/>
      <c r="OV79" s="130"/>
      <c r="OW79" s="130"/>
      <c r="OX79" s="130"/>
      <c r="OY79" s="130"/>
      <c r="OZ79" s="130"/>
      <c r="PA79" s="130"/>
      <c r="PB79" s="130"/>
      <c r="PC79" s="130"/>
      <c r="PD79" s="130"/>
      <c r="PE79" s="130"/>
      <c r="PF79" s="130"/>
      <c r="PG79" s="130"/>
      <c r="PH79" s="130"/>
      <c r="PI79" s="130"/>
      <c r="PJ79" s="130"/>
      <c r="PK79" s="130"/>
      <c r="PL79" s="130"/>
      <c r="PM79" s="130"/>
      <c r="PN79" s="130"/>
      <c r="PO79" s="130"/>
      <c r="PP79" s="130"/>
      <c r="PQ79" s="130"/>
      <c r="PR79" s="130"/>
      <c r="PS79" s="130"/>
      <c r="PT79" s="130"/>
      <c r="PU79" s="130"/>
      <c r="PV79" s="130"/>
      <c r="PW79" s="130"/>
      <c r="PX79" s="130"/>
      <c r="PY79" s="130"/>
      <c r="PZ79" s="130"/>
      <c r="QA79" s="130"/>
      <c r="QB79" s="130"/>
      <c r="QC79" s="130"/>
      <c r="QD79" s="130"/>
      <c r="QE79" s="130"/>
    </row>
    <row r="80" spans="1:447" s="40" customFormat="1" ht="16.2" thickBot="1" x14ac:dyDescent="0.35">
      <c r="A80" s="38"/>
      <c r="B80" s="39"/>
      <c r="LU80" s="130"/>
      <c r="LV80" s="130"/>
      <c r="LW80" s="130"/>
      <c r="LX80" s="130"/>
      <c r="LY80" s="130"/>
      <c r="LZ80" s="130"/>
      <c r="MA80" s="130"/>
      <c r="MB80" s="130"/>
      <c r="MC80" s="130"/>
      <c r="MD80" s="130"/>
      <c r="ME80" s="130"/>
      <c r="MF80" s="130"/>
      <c r="MG80" s="130"/>
      <c r="MH80" s="130"/>
      <c r="MI80" s="130"/>
      <c r="MJ80" s="130"/>
      <c r="MK80" s="130"/>
      <c r="ML80" s="130"/>
      <c r="MM80" s="130"/>
      <c r="MN80" s="130"/>
      <c r="MO80" s="130"/>
      <c r="MP80" s="130"/>
      <c r="MQ80" s="130"/>
      <c r="MR80" s="130"/>
      <c r="MS80" s="130"/>
      <c r="MT80" s="130"/>
      <c r="MU80" s="130"/>
      <c r="MV80" s="130"/>
      <c r="MW80" s="130"/>
      <c r="MX80" s="130"/>
      <c r="MY80" s="130"/>
      <c r="MZ80" s="130"/>
      <c r="NA80" s="130"/>
      <c r="NB80" s="130"/>
      <c r="NC80" s="130"/>
      <c r="ND80" s="130"/>
      <c r="NE80" s="130"/>
      <c r="NF80" s="130"/>
      <c r="NG80" s="130"/>
      <c r="NH80" s="130"/>
      <c r="NI80" s="130"/>
      <c r="NJ80" s="130"/>
      <c r="NK80" s="130"/>
      <c r="NL80" s="130"/>
      <c r="NM80" s="130"/>
      <c r="NN80" s="130"/>
      <c r="NO80" s="130"/>
      <c r="NP80" s="130"/>
      <c r="NQ80" s="130"/>
      <c r="NR80" s="130"/>
      <c r="NS80" s="130"/>
      <c r="NT80" s="130"/>
      <c r="NU80" s="130"/>
      <c r="NV80" s="130"/>
      <c r="NW80" s="130"/>
      <c r="NX80" s="130"/>
      <c r="NY80" s="130"/>
      <c r="NZ80" s="130"/>
      <c r="OA80" s="130"/>
      <c r="OB80" s="130"/>
      <c r="OC80" s="130"/>
      <c r="OD80" s="130"/>
      <c r="OE80" s="130"/>
      <c r="OF80" s="130"/>
      <c r="OG80" s="130"/>
      <c r="OH80" s="130"/>
      <c r="OI80" s="130"/>
      <c r="OJ80" s="130"/>
      <c r="OK80" s="130"/>
      <c r="OL80" s="130"/>
      <c r="OM80" s="130"/>
      <c r="ON80" s="130"/>
      <c r="OO80" s="130"/>
      <c r="OP80" s="130"/>
      <c r="OQ80" s="130"/>
      <c r="OR80" s="130"/>
      <c r="OS80" s="130"/>
      <c r="OT80" s="130"/>
      <c r="OU80" s="130"/>
      <c r="OV80" s="130"/>
      <c r="OW80" s="130"/>
      <c r="OX80" s="130"/>
      <c r="OY80" s="130"/>
      <c r="OZ80" s="130"/>
      <c r="PA80" s="130"/>
      <c r="PB80" s="130"/>
      <c r="PC80" s="130"/>
      <c r="PD80" s="130"/>
      <c r="PE80" s="130"/>
      <c r="PF80" s="130"/>
      <c r="PG80" s="130"/>
      <c r="PH80" s="130"/>
      <c r="PI80" s="130"/>
      <c r="PJ80" s="130"/>
      <c r="PK80" s="130"/>
      <c r="PL80" s="130"/>
      <c r="PM80" s="130"/>
      <c r="PN80" s="130"/>
      <c r="PO80" s="130"/>
      <c r="PP80" s="130"/>
      <c r="PQ80" s="130"/>
      <c r="PR80" s="130"/>
      <c r="PS80" s="130"/>
      <c r="PT80" s="130"/>
      <c r="PU80" s="130"/>
      <c r="PV80" s="130"/>
      <c r="PW80" s="130"/>
      <c r="PX80" s="130"/>
      <c r="PY80" s="130"/>
      <c r="PZ80" s="130"/>
      <c r="QA80" s="130"/>
      <c r="QB80" s="130"/>
      <c r="QC80" s="130"/>
      <c r="QD80" s="130"/>
      <c r="QE80" s="130"/>
    </row>
    <row r="81" spans="1:336" s="29" customFormat="1" ht="16.2" thickTop="1" x14ac:dyDescent="0.3">
      <c r="A81" s="33"/>
      <c r="B81" s="41"/>
    </row>
    <row r="82" spans="1:336" s="29" customFormat="1" x14ac:dyDescent="0.3">
      <c r="A82" s="33" t="s">
        <v>83</v>
      </c>
      <c r="B82" s="42"/>
      <c r="C82" s="43" t="s">
        <v>84</v>
      </c>
      <c r="D82" s="44">
        <v>233989</v>
      </c>
      <c r="E82" s="44">
        <v>338956</v>
      </c>
      <c r="F82" s="44">
        <v>153435</v>
      </c>
      <c r="G82" s="44">
        <v>161752</v>
      </c>
      <c r="H82" s="44">
        <v>189766</v>
      </c>
      <c r="I82" s="44">
        <v>243439</v>
      </c>
      <c r="J82" s="44">
        <v>185299</v>
      </c>
      <c r="K82" s="44">
        <v>246390</v>
      </c>
      <c r="L82" s="44">
        <v>159644</v>
      </c>
      <c r="M82" s="44">
        <v>154017</v>
      </c>
      <c r="N82" s="44">
        <v>102363</v>
      </c>
      <c r="O82" s="44">
        <v>107714</v>
      </c>
      <c r="P82" s="44">
        <v>95666</v>
      </c>
      <c r="Q82" s="44">
        <v>231344</v>
      </c>
      <c r="R82" s="44">
        <v>186934</v>
      </c>
      <c r="S82" s="44">
        <v>161623</v>
      </c>
      <c r="T82" s="44">
        <v>105002</v>
      </c>
      <c r="U82" s="44">
        <v>132689</v>
      </c>
      <c r="V82" s="44">
        <v>145768</v>
      </c>
      <c r="W82" s="44">
        <v>245122</v>
      </c>
      <c r="X82" s="44">
        <v>247190</v>
      </c>
      <c r="Y82" s="44">
        <v>201190</v>
      </c>
      <c r="Z82" s="44">
        <v>156917</v>
      </c>
      <c r="AA82" s="44">
        <v>105462</v>
      </c>
      <c r="AB82" s="44">
        <v>188819</v>
      </c>
      <c r="AC82" s="44">
        <v>211926</v>
      </c>
      <c r="AD82" s="44">
        <v>70047</v>
      </c>
      <c r="AE82" s="44">
        <v>84971</v>
      </c>
      <c r="AF82" s="44">
        <v>112134</v>
      </c>
      <c r="AG82" s="44">
        <v>209778</v>
      </c>
      <c r="AH82" s="44">
        <v>311123</v>
      </c>
      <c r="AI82" s="44">
        <v>362380</v>
      </c>
      <c r="AJ82" s="44">
        <v>366859</v>
      </c>
      <c r="AK82" s="44">
        <v>338252</v>
      </c>
      <c r="AL82" s="44">
        <v>234464</v>
      </c>
      <c r="AM82" s="44">
        <v>349194</v>
      </c>
      <c r="AN82" s="44">
        <v>216972</v>
      </c>
      <c r="AO82" s="44">
        <v>348453</v>
      </c>
      <c r="AP82" s="44">
        <v>161408</v>
      </c>
      <c r="AQ82" s="44">
        <v>165016</v>
      </c>
      <c r="AR82" s="44">
        <v>237135</v>
      </c>
      <c r="AS82" s="44">
        <v>272004</v>
      </c>
      <c r="AT82" s="44">
        <v>276720</v>
      </c>
      <c r="AU82" s="44">
        <v>324918</v>
      </c>
      <c r="AV82" s="44">
        <v>210207</v>
      </c>
      <c r="AW82" s="44">
        <v>143023</v>
      </c>
      <c r="AX82" s="44">
        <v>90216</v>
      </c>
      <c r="AY82" s="44">
        <v>120292</v>
      </c>
      <c r="AZ82" s="44">
        <v>249129</v>
      </c>
      <c r="BA82" s="44">
        <v>277753</v>
      </c>
      <c r="BB82" s="44">
        <v>171787</v>
      </c>
      <c r="BC82" s="44">
        <v>228386</v>
      </c>
      <c r="BD82" s="44">
        <v>395329</v>
      </c>
      <c r="BE82" s="44">
        <v>552532</v>
      </c>
      <c r="BF82" s="44">
        <v>522381</v>
      </c>
      <c r="BG82" s="44">
        <v>438112</v>
      </c>
      <c r="BH82" s="44">
        <v>394980</v>
      </c>
      <c r="BI82" s="44">
        <v>281247</v>
      </c>
      <c r="BJ82" s="44">
        <v>184121</v>
      </c>
      <c r="BK82" s="44">
        <v>269990</v>
      </c>
      <c r="BL82" s="44">
        <v>338614</v>
      </c>
      <c r="BM82" s="44">
        <v>371324</v>
      </c>
      <c r="BN82" s="44">
        <v>340341</v>
      </c>
      <c r="BO82" s="44">
        <f>392172+44079</f>
        <v>436251</v>
      </c>
      <c r="BP82" s="44">
        <v>514394</v>
      </c>
      <c r="BQ82" s="44">
        <v>551688</v>
      </c>
      <c r="BR82" s="44">
        <v>496378</v>
      </c>
      <c r="BS82" s="44">
        <v>336291</v>
      </c>
      <c r="BT82" s="44">
        <v>268825</v>
      </c>
      <c r="BU82" s="44">
        <v>193280</v>
      </c>
      <c r="BV82" s="44">
        <v>291140</v>
      </c>
      <c r="BW82" s="44">
        <v>336651</v>
      </c>
      <c r="BX82" s="44">
        <v>251803</v>
      </c>
      <c r="BY82" s="44">
        <v>220072</v>
      </c>
      <c r="BZ82" s="44">
        <v>130829</v>
      </c>
      <c r="CA82" s="44">
        <v>179604</v>
      </c>
      <c r="CB82" s="44">
        <v>245481</v>
      </c>
      <c r="CC82" s="44">
        <v>299742</v>
      </c>
      <c r="CD82" s="44">
        <v>327056</v>
      </c>
      <c r="CE82" s="44">
        <v>234824</v>
      </c>
      <c r="CF82" s="44">
        <v>138473</v>
      </c>
      <c r="CG82" s="44">
        <v>152883</v>
      </c>
      <c r="CH82" s="44">
        <v>356541</v>
      </c>
      <c r="CI82" s="44">
        <v>407727</v>
      </c>
      <c r="CJ82" s="44">
        <v>351247</v>
      </c>
      <c r="CK82" s="44">
        <v>207931</v>
      </c>
      <c r="CL82" s="44">
        <v>99123</v>
      </c>
      <c r="CM82" s="44">
        <v>242062</v>
      </c>
      <c r="CN82" s="44">
        <v>468403</v>
      </c>
      <c r="CO82" s="44">
        <v>428020</v>
      </c>
      <c r="CP82" s="44">
        <v>402710</v>
      </c>
      <c r="CQ82" s="44">
        <v>288033</v>
      </c>
      <c r="CR82" s="44">
        <v>173031</v>
      </c>
      <c r="CS82" s="44">
        <v>265968</v>
      </c>
      <c r="CT82" s="44">
        <v>415617</v>
      </c>
      <c r="CU82" s="44">
        <v>342029</v>
      </c>
      <c r="CV82" s="44">
        <v>303987</v>
      </c>
      <c r="CW82" s="44">
        <v>218676</v>
      </c>
      <c r="CX82" s="44">
        <v>225025</v>
      </c>
      <c r="CY82" s="44">
        <v>411903</v>
      </c>
      <c r="CZ82" s="44">
        <v>365788</v>
      </c>
      <c r="DA82" s="44">
        <v>300963</v>
      </c>
      <c r="DB82" s="44">
        <v>207953</v>
      </c>
      <c r="DC82" s="44">
        <v>149790</v>
      </c>
      <c r="DD82" s="44">
        <v>94953</v>
      </c>
      <c r="DE82" s="44">
        <v>153221</v>
      </c>
      <c r="DF82" s="44">
        <v>264771</v>
      </c>
      <c r="DG82" s="44">
        <v>291029</v>
      </c>
      <c r="DH82" s="44">
        <v>220302</v>
      </c>
      <c r="DI82" s="44">
        <v>232229</v>
      </c>
      <c r="DJ82" s="44">
        <v>138760</v>
      </c>
      <c r="DK82" s="44">
        <v>227909</v>
      </c>
      <c r="DL82" s="44">
        <v>232427</v>
      </c>
      <c r="DM82" s="44">
        <v>340863</v>
      </c>
      <c r="DN82" s="44">
        <v>296067</v>
      </c>
      <c r="DO82" s="44">
        <v>212073</v>
      </c>
      <c r="DP82" s="44">
        <v>177697</v>
      </c>
      <c r="DQ82" s="44">
        <v>199427</v>
      </c>
      <c r="DR82" s="44">
        <v>270193</v>
      </c>
      <c r="DS82" s="44">
        <v>335772</v>
      </c>
      <c r="DT82" s="44">
        <v>354326</v>
      </c>
      <c r="DU82" s="44">
        <v>291001</v>
      </c>
      <c r="DV82" s="44">
        <v>153004</v>
      </c>
      <c r="DW82" s="44">
        <v>150120</v>
      </c>
      <c r="DX82" s="44">
        <v>274166</v>
      </c>
      <c r="DY82" s="44">
        <v>313402</v>
      </c>
      <c r="DZ82" s="44">
        <v>271165</v>
      </c>
      <c r="EA82" s="44">
        <v>228643</v>
      </c>
      <c r="EB82" s="44">
        <v>187954</v>
      </c>
      <c r="EC82" s="44">
        <v>226435</v>
      </c>
      <c r="ED82" s="44">
        <v>369783</v>
      </c>
      <c r="EE82" s="44">
        <v>428632</v>
      </c>
      <c r="EF82" s="44">
        <v>293102</v>
      </c>
      <c r="EG82" s="44">
        <v>250490</v>
      </c>
      <c r="EH82" s="44">
        <v>222886</v>
      </c>
      <c r="EI82" s="44">
        <v>262187</v>
      </c>
      <c r="EJ82" s="44">
        <v>305178</v>
      </c>
      <c r="EK82" s="44">
        <v>300721</v>
      </c>
      <c r="EL82" s="44">
        <v>230720</v>
      </c>
      <c r="EM82" s="44">
        <v>162111</v>
      </c>
      <c r="EN82" s="44">
        <v>121605</v>
      </c>
      <c r="EO82" s="44">
        <v>162063</v>
      </c>
      <c r="EP82" s="44">
        <v>252808</v>
      </c>
      <c r="EQ82" s="44">
        <v>285366</v>
      </c>
      <c r="ER82" s="44">
        <v>200858</v>
      </c>
      <c r="ES82" s="44">
        <v>176649</v>
      </c>
      <c r="ET82" s="44">
        <v>133774</v>
      </c>
      <c r="EU82" s="44">
        <v>138120</v>
      </c>
      <c r="EV82" s="44">
        <v>228407</v>
      </c>
      <c r="EW82" s="44">
        <v>296301</v>
      </c>
      <c r="EX82" s="44">
        <v>235193</v>
      </c>
      <c r="EY82" s="44">
        <v>235578</v>
      </c>
      <c r="EZ82" s="44">
        <v>177599</v>
      </c>
      <c r="FA82" s="44">
        <v>180901</v>
      </c>
      <c r="FB82" s="44">
        <v>263578</v>
      </c>
      <c r="FC82" s="44">
        <v>284090</v>
      </c>
      <c r="FD82" s="44">
        <v>188005</v>
      </c>
      <c r="FE82" s="44">
        <v>162856</v>
      </c>
      <c r="FF82" s="44">
        <v>185933</v>
      </c>
      <c r="FG82" s="44">
        <v>182881</v>
      </c>
      <c r="FH82" s="44">
        <v>235406</v>
      </c>
      <c r="FI82" s="44">
        <v>211541</v>
      </c>
      <c r="FJ82" s="44">
        <v>215118</v>
      </c>
      <c r="FK82" s="44">
        <v>195417</v>
      </c>
      <c r="FL82" s="44">
        <v>211388</v>
      </c>
      <c r="FM82" s="44">
        <v>218475</v>
      </c>
      <c r="FN82" s="44">
        <v>229141</v>
      </c>
      <c r="FO82" s="44">
        <v>248013</v>
      </c>
      <c r="FP82" s="44">
        <v>219447</v>
      </c>
      <c r="FQ82" s="44">
        <v>142288</v>
      </c>
      <c r="FR82" s="44">
        <v>121696</v>
      </c>
      <c r="FS82" s="44">
        <v>182501</v>
      </c>
      <c r="FT82" s="44">
        <v>180344</v>
      </c>
      <c r="FU82" s="44">
        <v>228794</v>
      </c>
      <c r="FV82" s="44">
        <v>165762</v>
      </c>
      <c r="FW82" s="44">
        <v>156010</v>
      </c>
      <c r="FX82" s="44">
        <v>146642</v>
      </c>
      <c r="FY82" s="44">
        <v>123321</v>
      </c>
      <c r="FZ82" s="44">
        <v>187098</v>
      </c>
      <c r="GA82" s="44">
        <v>176310</v>
      </c>
      <c r="GB82" s="44">
        <v>175526</v>
      </c>
      <c r="GC82" s="44">
        <v>158548</v>
      </c>
      <c r="GD82" s="44">
        <v>155571</v>
      </c>
      <c r="GE82" s="44">
        <v>250728</v>
      </c>
      <c r="GF82" s="44">
        <v>248709</v>
      </c>
      <c r="GG82" s="44">
        <v>316128</v>
      </c>
      <c r="GH82" s="44">
        <v>222099</v>
      </c>
      <c r="GI82" s="44">
        <v>265399</v>
      </c>
      <c r="GJ82" s="44">
        <v>137156</v>
      </c>
      <c r="GK82" s="44">
        <v>184560</v>
      </c>
      <c r="GL82" s="44">
        <v>244789</v>
      </c>
      <c r="GM82" s="44">
        <v>268864</v>
      </c>
      <c r="GN82" s="44">
        <v>230849</v>
      </c>
      <c r="GO82" s="44">
        <v>179394</v>
      </c>
      <c r="GP82" s="44">
        <v>172576</v>
      </c>
      <c r="GQ82" s="44">
        <v>198864</v>
      </c>
      <c r="GR82" s="44">
        <v>272519</v>
      </c>
      <c r="GS82" s="44">
        <v>360875</v>
      </c>
      <c r="GT82" s="44">
        <v>318346</v>
      </c>
      <c r="GU82" s="44">
        <v>279248</v>
      </c>
      <c r="GV82" s="44">
        <v>237226</v>
      </c>
      <c r="GW82" s="44">
        <v>231442</v>
      </c>
      <c r="GX82" s="44">
        <v>278107</v>
      </c>
      <c r="GY82" s="44">
        <v>325080</v>
      </c>
      <c r="GZ82" s="44">
        <v>324127</v>
      </c>
      <c r="HA82" s="44">
        <v>212000</v>
      </c>
      <c r="HB82" s="44">
        <v>179564</v>
      </c>
      <c r="HC82" s="44">
        <v>266722</v>
      </c>
      <c r="HD82" s="44">
        <v>298978</v>
      </c>
      <c r="HE82" s="44">
        <v>332211</v>
      </c>
      <c r="HF82" s="44">
        <v>321355</v>
      </c>
      <c r="HG82" s="44">
        <v>256579</v>
      </c>
      <c r="HH82" s="44">
        <v>205725</v>
      </c>
      <c r="HI82" s="44">
        <v>220620</v>
      </c>
      <c r="HJ82" s="44">
        <v>254026</v>
      </c>
      <c r="HK82" s="44">
        <v>265927</v>
      </c>
      <c r="HL82" s="44">
        <v>260275</v>
      </c>
      <c r="HM82" s="44">
        <v>198988</v>
      </c>
      <c r="HN82" s="44">
        <v>199011</v>
      </c>
      <c r="HO82" s="44">
        <v>235171</v>
      </c>
      <c r="HP82" s="44">
        <v>272779</v>
      </c>
      <c r="HQ82" s="44">
        <v>264314</v>
      </c>
      <c r="HR82" s="44">
        <v>264373</v>
      </c>
      <c r="HS82" s="44">
        <v>217809</v>
      </c>
      <c r="HT82" s="44">
        <v>152640</v>
      </c>
      <c r="HU82" s="44">
        <v>177380</v>
      </c>
      <c r="HV82" s="44">
        <v>234958</v>
      </c>
      <c r="HW82" s="44">
        <v>266245</v>
      </c>
      <c r="HX82" s="44">
        <v>217284</v>
      </c>
      <c r="HY82" s="44">
        <v>169728</v>
      </c>
      <c r="HZ82" s="44">
        <v>188012</v>
      </c>
      <c r="IA82" s="44">
        <v>266726</v>
      </c>
      <c r="IB82" s="44">
        <v>237747</v>
      </c>
      <c r="IC82" s="44">
        <v>215180</v>
      </c>
      <c r="ID82" s="44">
        <v>193965</v>
      </c>
      <c r="IE82" s="44">
        <v>223099</v>
      </c>
      <c r="IF82" s="44">
        <v>176561</v>
      </c>
      <c r="IG82" s="44">
        <v>253270</v>
      </c>
      <c r="IH82" s="44">
        <v>370924</v>
      </c>
      <c r="II82" s="44">
        <v>375843</v>
      </c>
      <c r="IJ82" s="44">
        <v>309303</v>
      </c>
      <c r="IK82" s="43">
        <v>340378</v>
      </c>
      <c r="IL82" s="43">
        <v>215285</v>
      </c>
      <c r="IM82" s="43">
        <v>227277</v>
      </c>
      <c r="IN82" s="43">
        <v>242301</v>
      </c>
      <c r="IO82" s="43">
        <v>226462</v>
      </c>
      <c r="IP82" s="43">
        <v>244319</v>
      </c>
      <c r="IQ82" s="43">
        <v>187592</v>
      </c>
      <c r="IR82" s="43">
        <v>141220</v>
      </c>
      <c r="IS82" s="43">
        <v>252548</v>
      </c>
      <c r="IT82" s="43">
        <v>275057</v>
      </c>
      <c r="IU82" s="43">
        <v>306331</v>
      </c>
      <c r="IV82" s="43">
        <v>233151</v>
      </c>
      <c r="IW82" s="43">
        <v>177001.23</v>
      </c>
      <c r="IX82" s="43">
        <v>178894</v>
      </c>
      <c r="IY82" s="43">
        <v>223401</v>
      </c>
      <c r="IZ82" s="43">
        <v>240403</v>
      </c>
      <c r="JA82" s="43">
        <v>345546</v>
      </c>
      <c r="JB82" s="43">
        <v>344760</v>
      </c>
      <c r="JC82" s="43">
        <v>311290</v>
      </c>
      <c r="JD82" s="43">
        <v>248749</v>
      </c>
      <c r="JE82" s="43">
        <v>393783</v>
      </c>
      <c r="JF82" s="43">
        <v>371146</v>
      </c>
      <c r="JG82" s="43">
        <v>395224</v>
      </c>
      <c r="JH82" s="43">
        <v>318338</v>
      </c>
      <c r="JI82" s="43">
        <v>224301</v>
      </c>
      <c r="JJ82" s="43">
        <v>210552</v>
      </c>
      <c r="JK82" s="43">
        <v>264103</v>
      </c>
      <c r="JL82" s="43">
        <v>257946</v>
      </c>
      <c r="JM82" s="43">
        <v>391514</v>
      </c>
      <c r="JN82" s="43">
        <v>354837</v>
      </c>
      <c r="JO82" s="43">
        <v>348423</v>
      </c>
      <c r="JP82" s="43">
        <v>336676</v>
      </c>
      <c r="JQ82" s="43">
        <v>286668</v>
      </c>
      <c r="JR82" s="43">
        <v>264611</v>
      </c>
      <c r="JS82" s="43">
        <v>314304</v>
      </c>
      <c r="JT82" s="43">
        <v>268033</v>
      </c>
      <c r="JU82" s="43">
        <v>207923</v>
      </c>
      <c r="JV82" s="43">
        <v>229438</v>
      </c>
      <c r="JW82" s="43">
        <v>219948</v>
      </c>
      <c r="JX82" s="43">
        <v>224803</v>
      </c>
      <c r="JY82" s="43">
        <v>310829</v>
      </c>
      <c r="JZ82" s="43">
        <v>290475</v>
      </c>
      <c r="KA82" s="43">
        <v>311747</v>
      </c>
      <c r="KB82" s="43">
        <v>264065</v>
      </c>
      <c r="KC82" s="43">
        <v>282530</v>
      </c>
      <c r="KD82" s="43">
        <v>335405</v>
      </c>
      <c r="KE82" s="43">
        <v>403381</v>
      </c>
      <c r="KF82" s="43">
        <v>320297</v>
      </c>
      <c r="KG82" s="43">
        <v>286322</v>
      </c>
      <c r="KH82" s="43">
        <v>223858</v>
      </c>
      <c r="KI82" s="43">
        <v>248921</v>
      </c>
      <c r="KJ82" s="43">
        <v>342429</v>
      </c>
      <c r="KK82" s="43">
        <v>334393</v>
      </c>
      <c r="KL82" s="43">
        <v>269439</v>
      </c>
      <c r="KM82" s="43">
        <v>247838</v>
      </c>
      <c r="KN82" s="43">
        <v>326793</v>
      </c>
      <c r="KO82" s="43">
        <v>286758</v>
      </c>
      <c r="KP82" s="43">
        <v>266337</v>
      </c>
      <c r="KQ82" s="43">
        <v>268490</v>
      </c>
      <c r="KR82" s="43">
        <v>291045</v>
      </c>
      <c r="KS82" s="43">
        <v>208956</v>
      </c>
      <c r="KT82" s="43">
        <v>209478</v>
      </c>
      <c r="KU82" s="43">
        <v>408027</v>
      </c>
      <c r="KV82" s="43">
        <v>424451</v>
      </c>
      <c r="KW82" s="43">
        <v>404673</v>
      </c>
      <c r="KX82" s="43">
        <v>397883</v>
      </c>
      <c r="KY82" s="43">
        <v>409916</v>
      </c>
      <c r="KZ82" s="43">
        <v>326232</v>
      </c>
      <c r="LA82" s="43">
        <v>408454</v>
      </c>
      <c r="LB82" s="43">
        <v>430565</v>
      </c>
      <c r="LC82" s="43">
        <v>427204</v>
      </c>
      <c r="LD82" s="43">
        <v>418340</v>
      </c>
      <c r="LE82" s="43">
        <v>341839</v>
      </c>
      <c r="LF82" s="43">
        <v>381636</v>
      </c>
      <c r="LG82" s="43">
        <v>443100</v>
      </c>
      <c r="LH82" s="43">
        <v>386217</v>
      </c>
      <c r="LI82" s="43">
        <v>401930</v>
      </c>
      <c r="LJ82" s="43">
        <v>390378</v>
      </c>
      <c r="LK82" s="43">
        <v>333346</v>
      </c>
      <c r="LL82" s="43">
        <v>295194</v>
      </c>
      <c r="LM82" s="43">
        <v>319035</v>
      </c>
      <c r="LN82" s="43">
        <v>320339</v>
      </c>
      <c r="LO82" s="43">
        <v>393022</v>
      </c>
      <c r="LP82" s="43">
        <v>348952</v>
      </c>
      <c r="LQ82" s="43">
        <v>293199</v>
      </c>
      <c r="LR82" s="43">
        <v>350743</v>
      </c>
      <c r="LS82" s="43">
        <v>409940</v>
      </c>
      <c r="LT82" s="43">
        <v>314439</v>
      </c>
      <c r="LU82" s="43"/>
      <c r="LV82" s="43"/>
      <c r="LW82" s="43"/>
      <c r="LX82" s="43"/>
    </row>
    <row r="83" spans="1:336" s="29" customFormat="1" x14ac:dyDescent="0.3">
      <c r="A83" s="33" t="s">
        <v>85</v>
      </c>
      <c r="B83" s="42"/>
      <c r="C83" s="43">
        <v>1198.2</v>
      </c>
      <c r="D83" s="44">
        <v>1456.9</v>
      </c>
      <c r="E83" s="44">
        <v>338.7</v>
      </c>
      <c r="F83" s="44">
        <v>350.8</v>
      </c>
      <c r="G83" s="44">
        <v>335.7</v>
      </c>
      <c r="H83" s="44">
        <v>332.1</v>
      </c>
      <c r="I83" s="44">
        <f>2541*185/1000</f>
        <v>470.08499999999998</v>
      </c>
      <c r="J83" s="44">
        <f>3442*185/1000</f>
        <v>636.77</v>
      </c>
      <c r="K83" s="44">
        <f>3505*185/1000</f>
        <v>648.42499999999995</v>
      </c>
      <c r="L83" s="44" t="s">
        <v>86</v>
      </c>
      <c r="M83" s="44">
        <f>5436*185/1000</f>
        <v>1005.66</v>
      </c>
      <c r="N83" s="44">
        <v>693.9</v>
      </c>
      <c r="O83" s="44">
        <v>483.6</v>
      </c>
      <c r="P83" s="44">
        <v>285.5</v>
      </c>
      <c r="Q83" s="44">
        <v>574.4</v>
      </c>
      <c r="R83" s="44">
        <v>552.96500000000003</v>
      </c>
      <c r="S83" s="44">
        <v>402.19</v>
      </c>
      <c r="T83" s="44">
        <v>347.43</v>
      </c>
      <c r="U83" s="44">
        <v>27.2</v>
      </c>
      <c r="V83" s="44">
        <v>386.8</v>
      </c>
      <c r="W83" s="44">
        <v>461.2</v>
      </c>
      <c r="X83" s="44">
        <v>203.5</v>
      </c>
      <c r="Y83" s="44">
        <v>703</v>
      </c>
      <c r="Z83" s="44">
        <v>473.4</v>
      </c>
      <c r="AA83" s="44">
        <v>491.9</v>
      </c>
      <c r="AB83" s="44">
        <v>410.3</v>
      </c>
      <c r="AC83" s="44">
        <v>456.6</v>
      </c>
      <c r="AD83" s="44">
        <v>3115</v>
      </c>
      <c r="AE83" s="44">
        <v>872</v>
      </c>
      <c r="AF83" s="44">
        <v>910</v>
      </c>
      <c r="AG83" s="44">
        <v>211.8</v>
      </c>
      <c r="AH83" s="44">
        <v>173.04</v>
      </c>
      <c r="AI83" s="44">
        <v>1592</v>
      </c>
      <c r="AJ83" s="44">
        <v>2634</v>
      </c>
      <c r="AK83" s="44">
        <v>2333</v>
      </c>
      <c r="AL83" s="44">
        <v>1471</v>
      </c>
      <c r="AM83" s="44">
        <v>200</v>
      </c>
      <c r="AN83" s="44">
        <v>300</v>
      </c>
      <c r="AO83" s="44">
        <v>200</v>
      </c>
      <c r="AP83" s="44">
        <v>213</v>
      </c>
      <c r="AQ83" s="44" t="s">
        <v>86</v>
      </c>
      <c r="AR83" s="44">
        <v>102</v>
      </c>
      <c r="AS83" s="44" t="s">
        <v>86</v>
      </c>
      <c r="AT83" s="44">
        <v>1111</v>
      </c>
      <c r="AU83" s="44">
        <v>608</v>
      </c>
      <c r="AV83" s="44">
        <v>91.29</v>
      </c>
      <c r="AW83" s="44">
        <v>604</v>
      </c>
      <c r="AX83" s="44">
        <v>655</v>
      </c>
      <c r="AY83" s="44">
        <v>413</v>
      </c>
      <c r="AZ83" s="44">
        <v>624</v>
      </c>
      <c r="BA83" s="44">
        <v>41</v>
      </c>
      <c r="BB83" s="44" t="s">
        <v>86</v>
      </c>
      <c r="BC83" s="44" t="s">
        <v>86</v>
      </c>
      <c r="BD83" s="44">
        <f>19.7*1000/185</f>
        <v>106.48648648648648</v>
      </c>
      <c r="BE83" s="44">
        <f>807.96*1000/185</f>
        <v>4367.3513513513517</v>
      </c>
      <c r="BF83" s="44">
        <v>2297</v>
      </c>
      <c r="BG83" s="44">
        <f>290.46*1000/185</f>
        <v>1570.0540540540539</v>
      </c>
      <c r="BH83" s="44">
        <v>1338.46</v>
      </c>
      <c r="BI83" s="44">
        <v>512.85</v>
      </c>
      <c r="BJ83" s="44">
        <v>824.37</v>
      </c>
      <c r="BK83" s="44" t="s">
        <v>86</v>
      </c>
      <c r="BL83" s="44" t="s">
        <v>86</v>
      </c>
      <c r="BM83" s="44" t="s">
        <v>86</v>
      </c>
      <c r="BN83" s="44">
        <f>132.88*1000/185</f>
        <v>718.27027027027032</v>
      </c>
      <c r="BO83" s="44" t="s">
        <v>86</v>
      </c>
      <c r="BP83" s="44" t="s">
        <v>86</v>
      </c>
      <c r="BQ83" s="44">
        <f>131.31*1000/185</f>
        <v>709.78378378378375</v>
      </c>
      <c r="BR83" s="44">
        <f>1043.78*1000/185</f>
        <v>5642.0540540540542</v>
      </c>
      <c r="BS83" s="44">
        <f>699.36*1000/185</f>
        <v>3780.3243243243242</v>
      </c>
      <c r="BT83" s="44">
        <f>2109.44*1000/185</f>
        <v>11402.378378378378</v>
      </c>
      <c r="BU83" s="44">
        <f>2077.06*1000/185</f>
        <v>11227.351351351352</v>
      </c>
      <c r="BV83" s="44">
        <f>641.52*1000/185</f>
        <v>3467.6756756756758</v>
      </c>
      <c r="BW83" s="44">
        <f>408.32*1000/185</f>
        <v>2207.135135135135</v>
      </c>
      <c r="BX83" s="44">
        <f>696.43*1000/185</f>
        <v>3764.4864864864867</v>
      </c>
      <c r="BY83" s="44">
        <f>698.375*1000/185</f>
        <v>3775</v>
      </c>
      <c r="BZ83" s="44">
        <f>988.11*1000/185</f>
        <v>5341.135135135135</v>
      </c>
      <c r="CA83" s="44">
        <f>203.2*1000/185</f>
        <v>1098.3783783783783</v>
      </c>
      <c r="CB83" s="44">
        <f>170.859*1000/185</f>
        <v>923.56216216216217</v>
      </c>
      <c r="CC83" s="44">
        <f>376.17*1000/185</f>
        <v>2033.3513513513512</v>
      </c>
      <c r="CD83" s="44" t="s">
        <v>86</v>
      </c>
      <c r="CE83" s="44">
        <f>43.92*1000/185</f>
        <v>237.40540540540542</v>
      </c>
      <c r="CF83" s="44">
        <f>307.29*1000/185</f>
        <v>1661.0270270270271</v>
      </c>
      <c r="CG83" s="44">
        <f>85.65*1000/185</f>
        <v>462.97297297297297</v>
      </c>
      <c r="CH83" s="44">
        <f>1200*1000/185</f>
        <v>6486.4864864864867</v>
      </c>
      <c r="CI83" s="44">
        <v>844</v>
      </c>
      <c r="CJ83" s="44">
        <v>630</v>
      </c>
      <c r="CK83" s="44" t="s">
        <v>86</v>
      </c>
      <c r="CL83" s="44" t="s">
        <v>86</v>
      </c>
      <c r="CM83" s="44" t="s">
        <v>86</v>
      </c>
      <c r="CN83" s="44" t="s">
        <v>86</v>
      </c>
      <c r="CO83" s="44">
        <v>7459</v>
      </c>
      <c r="CP83" s="44">
        <v>10072</v>
      </c>
      <c r="CQ83" s="44">
        <v>15763</v>
      </c>
      <c r="CR83" s="44">
        <v>15890</v>
      </c>
      <c r="CS83" s="44">
        <v>12740</v>
      </c>
      <c r="CT83" s="44">
        <v>7840</v>
      </c>
      <c r="CU83" s="44">
        <v>2052</v>
      </c>
      <c r="CV83" s="44">
        <v>1995.68</v>
      </c>
      <c r="CW83" s="44">
        <v>1102</v>
      </c>
      <c r="CX83" s="44" t="s">
        <v>86</v>
      </c>
      <c r="CY83" s="44" t="s">
        <v>86</v>
      </c>
      <c r="CZ83" s="44">
        <v>31.04</v>
      </c>
      <c r="DA83" s="44">
        <v>12422.16</v>
      </c>
      <c r="DB83" s="44">
        <v>7958</v>
      </c>
      <c r="DC83" s="44">
        <v>22095.9</v>
      </c>
      <c r="DD83" s="44">
        <v>20828</v>
      </c>
      <c r="DE83" s="44">
        <v>16397</v>
      </c>
      <c r="DF83" s="44">
        <v>11055</v>
      </c>
      <c r="DG83" s="44">
        <v>472.86</v>
      </c>
      <c r="DH83" s="44" t="s">
        <v>86</v>
      </c>
      <c r="DI83" s="44" t="s">
        <v>87</v>
      </c>
      <c r="DJ83" s="44" t="s">
        <v>87</v>
      </c>
      <c r="DK83" s="44">
        <v>160.28</v>
      </c>
      <c r="DL83" s="44" t="s">
        <v>87</v>
      </c>
      <c r="DM83" s="44">
        <v>3368</v>
      </c>
      <c r="DN83" s="44">
        <v>14771</v>
      </c>
      <c r="DO83" s="44">
        <v>14308</v>
      </c>
      <c r="DP83" s="44">
        <v>10843</v>
      </c>
      <c r="DQ83" s="44">
        <v>12282</v>
      </c>
      <c r="DR83" s="44">
        <v>8829</v>
      </c>
      <c r="DS83" s="44">
        <v>4231</v>
      </c>
      <c r="DT83" s="44">
        <v>1361</v>
      </c>
      <c r="DU83" s="44">
        <v>2267</v>
      </c>
      <c r="DV83" s="44" t="s">
        <v>93</v>
      </c>
      <c r="DW83" s="44" t="s">
        <v>93</v>
      </c>
      <c r="DX83" s="44" t="s">
        <v>93</v>
      </c>
      <c r="DY83" s="44">
        <v>9173</v>
      </c>
      <c r="DZ83" s="44">
        <v>17710</v>
      </c>
      <c r="EA83" s="44">
        <v>26766</v>
      </c>
      <c r="EB83" s="44">
        <v>12830</v>
      </c>
      <c r="EC83" s="44">
        <v>5926</v>
      </c>
      <c r="ED83" s="44">
        <v>1916.7</v>
      </c>
      <c r="EE83" s="44">
        <v>1127.54</v>
      </c>
      <c r="EF83" s="44">
        <v>657.96</v>
      </c>
      <c r="EG83" s="44" t="s">
        <v>87</v>
      </c>
      <c r="EH83" s="44">
        <v>66.88</v>
      </c>
      <c r="EI83" s="44">
        <v>84.74</v>
      </c>
      <c r="EJ83" s="44">
        <v>86.3</v>
      </c>
      <c r="EK83" s="44">
        <v>2871.9789999999998</v>
      </c>
      <c r="EL83" s="44">
        <v>21645.54054054054</v>
      </c>
      <c r="EM83" s="44">
        <v>20775.783783783783</v>
      </c>
      <c r="EN83" s="44">
        <v>10581.351351351352</v>
      </c>
      <c r="EO83" s="44">
        <v>6072.594594594595</v>
      </c>
      <c r="EP83" s="44">
        <v>2791.8378378378379</v>
      </c>
      <c r="EQ83" s="44">
        <v>1501.6756756756756</v>
      </c>
      <c r="ER83" s="44">
        <v>4093.3513513513512</v>
      </c>
      <c r="ES83" s="44">
        <v>9045.2972972972966</v>
      </c>
      <c r="ET83" s="44">
        <v>401.51351351351349</v>
      </c>
      <c r="EU83" s="44">
        <v>2247.6756756756758</v>
      </c>
      <c r="EV83" s="44">
        <v>3381.5675675675675</v>
      </c>
      <c r="EW83" s="44">
        <v>12000</v>
      </c>
      <c r="EX83" s="44">
        <v>27869.783783783783</v>
      </c>
      <c r="EY83" s="44">
        <v>31236.432432432433</v>
      </c>
      <c r="EZ83" s="44">
        <v>3573.57</v>
      </c>
      <c r="FA83" s="44">
        <v>3617.69</v>
      </c>
      <c r="FB83" s="44">
        <v>1654.83</v>
      </c>
      <c r="FC83" s="44">
        <v>1229.44</v>
      </c>
      <c r="FD83" s="44">
        <f>(2020.48*1000)/185</f>
        <v>10921.513513513513</v>
      </c>
      <c r="FE83" s="44">
        <f>(919.57*1000)/185</f>
        <v>4970.6486486486483</v>
      </c>
      <c r="FF83" s="44">
        <f>(208.48*1000)/185</f>
        <v>1126.918918918919</v>
      </c>
      <c r="FG83" s="44">
        <f>(14.45*1000)/185</f>
        <v>78.108108108108112</v>
      </c>
      <c r="FH83" s="44">
        <f>(715.96*1000)/185</f>
        <v>3870.0540540540542</v>
      </c>
      <c r="FI83" s="44">
        <f>(4911.14*1000)/185</f>
        <v>26546.702702702703</v>
      </c>
      <c r="FJ83" s="44">
        <f>(7455.09*1000)/185</f>
        <v>40297.783783783787</v>
      </c>
      <c r="FK83" s="44">
        <f>(6672.06*1000)/185</f>
        <v>36065.189189189186</v>
      </c>
      <c r="FL83" s="44">
        <f>(7148.3*1000)/185</f>
        <v>38639.45945945946</v>
      </c>
      <c r="FM83" s="44">
        <f>(6063.98*1000)/185</f>
        <v>32778.270270270274</v>
      </c>
      <c r="FN83" s="44">
        <f>(4744.3*1000)/185</f>
        <v>25644.864864864863</v>
      </c>
      <c r="FO83" s="44">
        <f>(1482.81*1000)/185</f>
        <v>8015.1891891891892</v>
      </c>
      <c r="FP83" s="44">
        <f>(436.2*1000)/185</f>
        <v>2357.8378378378379</v>
      </c>
      <c r="FQ83" s="44">
        <f>(34.81*1000)/185</f>
        <v>188.16216216216216</v>
      </c>
      <c r="FR83" s="44">
        <f>(581.41*1000)/185</f>
        <v>3142.7567567567567</v>
      </c>
      <c r="FS83" s="44">
        <f>(143.151*1000)/185</f>
        <v>773.78918918918919</v>
      </c>
      <c r="FT83" s="44">
        <f>(625.29*1000)/185</f>
        <v>3379.9459459459458</v>
      </c>
      <c r="FU83" s="44">
        <f>(920.93*1000)/185</f>
        <v>4978</v>
      </c>
      <c r="FV83" s="44">
        <f>(2927.39*1000)/185</f>
        <v>15823.72972972973</v>
      </c>
      <c r="FW83" s="44">
        <f>(249.85*1000)/185</f>
        <v>1350.5405405405406</v>
      </c>
      <c r="FX83" s="44">
        <f>(1926.65*1000)/185</f>
        <v>10414.324324324325</v>
      </c>
      <c r="FY83" s="44">
        <v>89.22</v>
      </c>
      <c r="FZ83" s="44">
        <v>2255.5100000000002</v>
      </c>
      <c r="GA83" s="44">
        <v>444.98</v>
      </c>
      <c r="GB83" s="44">
        <v>222.73</v>
      </c>
      <c r="GC83" s="44">
        <v>164.1</v>
      </c>
      <c r="GD83" s="44">
        <v>285.01</v>
      </c>
      <c r="GE83" s="44">
        <v>239.74</v>
      </c>
      <c r="GF83" s="44">
        <v>221.42</v>
      </c>
      <c r="GG83" s="44">
        <v>1608.7</v>
      </c>
      <c r="GH83" s="44">
        <v>2388.5100000000002</v>
      </c>
      <c r="GI83" s="44">
        <v>3025.35</v>
      </c>
      <c r="GJ83" s="44">
        <v>3106.05</v>
      </c>
      <c r="GK83" s="44">
        <f>(2112.59*1000)/185</f>
        <v>11419.405405405405</v>
      </c>
      <c r="GL83" s="44">
        <f>(2029.94*1000)/185</f>
        <v>10972.648648648648</v>
      </c>
      <c r="GM83" s="44">
        <f>(1314.26*1000)/185</f>
        <v>7104.1081081081084</v>
      </c>
      <c r="GN83" s="44">
        <f>(787.95*1000)/185</f>
        <v>4259.1891891891892</v>
      </c>
      <c r="GO83" s="44">
        <f>(247.24*1000)/185</f>
        <v>1336.4324324324325</v>
      </c>
      <c r="GP83" s="44">
        <f>(233.94*1000)/185</f>
        <v>1264.5405405405406</v>
      </c>
      <c r="GQ83" s="44">
        <f>(816.09*1000)/185</f>
        <v>4411.2972972972975</v>
      </c>
      <c r="GR83" s="44">
        <f>(129.06*1000)/185</f>
        <v>697.62162162162167</v>
      </c>
      <c r="GS83" s="44">
        <v>448.37</v>
      </c>
      <c r="GT83" s="44">
        <v>1337.49</v>
      </c>
      <c r="GU83" s="44">
        <v>1999.79</v>
      </c>
      <c r="GV83" s="44">
        <v>1273.21</v>
      </c>
      <c r="GW83" s="44">
        <v>1612.12</v>
      </c>
      <c r="GX83" s="44">
        <v>1524.49</v>
      </c>
      <c r="GY83" s="44">
        <f>(432.84*1000)/185</f>
        <v>2339.6756756756758</v>
      </c>
      <c r="GZ83" s="44">
        <f>(115.15*1000)/185</f>
        <v>622.43243243243239</v>
      </c>
      <c r="HA83" s="44">
        <f>(262.09*1000)/185</f>
        <v>1416.7027027027025</v>
      </c>
      <c r="HB83" s="44">
        <f>(109.87*1000)/185</f>
        <v>593.89189189189187</v>
      </c>
      <c r="HC83" s="44">
        <f>(64.61*1000)/185</f>
        <v>349.24324324324323</v>
      </c>
      <c r="HD83" s="44">
        <f>(219.36*1000)/185</f>
        <v>1185.7297297297298</v>
      </c>
      <c r="HE83" s="44">
        <v>11228.324324324323</v>
      </c>
      <c r="HF83" s="44">
        <v>29001.297297297297</v>
      </c>
      <c r="HG83" s="44">
        <v>27403.783783783783</v>
      </c>
      <c r="HH83" s="44">
        <f>(3092.11*1000)/185</f>
        <v>16714.108108108107</v>
      </c>
      <c r="HI83" s="44">
        <f>(2490.43*1000)/185</f>
        <v>13461.783783783783</v>
      </c>
      <c r="HJ83" s="44">
        <f>(639.02*1000)/185</f>
        <v>3454.1621621621621</v>
      </c>
      <c r="HK83" s="44">
        <f>(354.14*1000)/185</f>
        <v>1914.2702702702702</v>
      </c>
      <c r="HL83" s="44">
        <f>(456.09*1000)/185</f>
        <v>2465.3513513513512</v>
      </c>
      <c r="HM83" s="44">
        <f>(110.65*1000)/185</f>
        <v>598.10810810810813</v>
      </c>
      <c r="HN83" s="44">
        <f>(121.74*1000)/185</f>
        <v>658.05405405405406</v>
      </c>
      <c r="HO83" s="44">
        <f>(221.21*1000)/185</f>
        <v>1195.7297297297298</v>
      </c>
      <c r="HP83" s="44">
        <f>(106.84*1000)/185</f>
        <v>577.51351351351354</v>
      </c>
      <c r="HQ83" s="44">
        <v>312</v>
      </c>
      <c r="HR83" s="44">
        <v>581</v>
      </c>
      <c r="HS83" s="44">
        <v>1933.85</v>
      </c>
      <c r="HT83" s="44">
        <v>2514.5700000000002</v>
      </c>
      <c r="HU83" s="44">
        <f>(2548*1000)/185</f>
        <v>13772.972972972973</v>
      </c>
      <c r="HV83" s="44">
        <f>(696.68*1000)/185</f>
        <v>3765.8378378378379</v>
      </c>
      <c r="HW83" s="44">
        <f>(94.57*1000)/185</f>
        <v>511.18918918918916</v>
      </c>
      <c r="HX83" s="44">
        <v>0</v>
      </c>
      <c r="HY83" s="44">
        <v>2526.4864864864867</v>
      </c>
      <c r="HZ83" s="44">
        <v>3947.4594594594596</v>
      </c>
      <c r="IA83" s="44">
        <v>2455.4594594594596</v>
      </c>
      <c r="IB83" s="44">
        <v>7980.7567567567567</v>
      </c>
      <c r="IC83" s="44">
        <v>21343.18918918919</v>
      </c>
      <c r="ID83" s="44">
        <v>27718.972972972973</v>
      </c>
      <c r="IE83" s="44">
        <v>34320</v>
      </c>
      <c r="IF83" s="44">
        <v>18588.91891891892</v>
      </c>
      <c r="IG83" s="44">
        <v>11443.567567567568</v>
      </c>
      <c r="IH83" s="44">
        <v>2480.2702702702704</v>
      </c>
      <c r="II83" s="44">
        <v>7709.405405405405</v>
      </c>
      <c r="IJ83" s="44">
        <v>2521.0810810810813</v>
      </c>
      <c r="IK83" s="43">
        <v>476.10810810810813</v>
      </c>
      <c r="IL83" s="45"/>
      <c r="IM83" s="45">
        <v>474.05405405405406</v>
      </c>
      <c r="IN83" s="45">
        <v>11225.297297297297</v>
      </c>
      <c r="IO83" s="45">
        <v>28016.502702702703</v>
      </c>
      <c r="IP83" s="45">
        <v>34797.351351351354</v>
      </c>
      <c r="IQ83" s="45">
        <v>50132.124324324323</v>
      </c>
      <c r="IR83" s="45">
        <v>38986.216216216213</v>
      </c>
      <c r="IS83" s="45">
        <v>29534.881081081083</v>
      </c>
      <c r="IT83" s="45">
        <v>26899.513513513513</v>
      </c>
      <c r="IU83" s="45">
        <v>5563.6756756756749</v>
      </c>
      <c r="IV83" s="45">
        <v>5229.5135135135133</v>
      </c>
      <c r="IW83" s="45">
        <v>4975.7837837837833</v>
      </c>
      <c r="IX83" s="45">
        <v>7366.8246753089197</v>
      </c>
      <c r="IY83" s="45">
        <f>((450.41*1000)/185)</f>
        <v>2434.6486486486488</v>
      </c>
      <c r="IZ83" s="45">
        <f>+(231.32*1000)/185</f>
        <v>1250.3783783783783</v>
      </c>
      <c r="JA83" s="45">
        <v>1825.36</v>
      </c>
      <c r="JB83" s="45">
        <f>+(3632.45*1000)/185</f>
        <v>19634.864864864863</v>
      </c>
      <c r="JC83" s="45">
        <f>3649.61*5.40540540540541</f>
        <v>19727.621621621638</v>
      </c>
      <c r="JD83" s="45">
        <f>(3735.15*1000)/185</f>
        <v>20190</v>
      </c>
      <c r="JE83" s="45">
        <f>+(2830.41*1000)/185</f>
        <v>15299.513513513513</v>
      </c>
      <c r="JF83" s="45">
        <f>+(1292.29*1000)/185</f>
        <v>6985.3513513513517</v>
      </c>
      <c r="JG83" s="45">
        <f>+(707.06*1000)/185</f>
        <v>3821.9459459459458</v>
      </c>
      <c r="JH83" s="45">
        <f>++(128.02*1000)/185</f>
        <v>692.00000000000011</v>
      </c>
      <c r="JI83" s="45">
        <f>+(65.28*1000)/185</f>
        <v>352.86486486486484</v>
      </c>
      <c r="JJ83" s="45">
        <f>+(683.63*1000)/185</f>
        <v>3695.2972972972975</v>
      </c>
      <c r="JK83" s="45">
        <v>0</v>
      </c>
      <c r="JL83" s="45">
        <v>294.59459459459458</v>
      </c>
      <c r="JM83" s="45">
        <v>550.27027027027032</v>
      </c>
      <c r="JN83" s="45">
        <v>718.37837837837844</v>
      </c>
      <c r="JO83" s="45">
        <v>1730.5405405405406</v>
      </c>
      <c r="JP83" s="45">
        <f>2662.45*5.40540540540541</f>
        <v>14391.621621621633</v>
      </c>
      <c r="JQ83" s="45">
        <v>5396.0540540540542</v>
      </c>
      <c r="JR83" s="45">
        <v>8862.864864864865</v>
      </c>
      <c r="JS83" s="45">
        <v>3764.6486486486488</v>
      </c>
      <c r="JT83" s="45">
        <v>536.21621621621625</v>
      </c>
      <c r="JU83" s="45">
        <v>206.01900000000001</v>
      </c>
      <c r="JV83" s="45"/>
      <c r="JW83" s="45">
        <f>79.027*5.40540540540541</f>
        <v>427.1729729729733</v>
      </c>
      <c r="JX83" s="45">
        <v>4086.8324324324326</v>
      </c>
      <c r="JY83" s="45">
        <v>8925.2270270270255</v>
      </c>
      <c r="JZ83" s="45">
        <f>1965.232*5.40540540540541</f>
        <v>10622.875675675685</v>
      </c>
      <c r="KA83" s="45">
        <f>2984.117*5.40540540540541</f>
        <v>16130.362162162177</v>
      </c>
      <c r="KB83" s="45">
        <v>11134.945945945947</v>
      </c>
      <c r="KC83" s="45">
        <v>833.19</v>
      </c>
      <c r="KD83" s="45">
        <v>1753.6890000000001</v>
      </c>
      <c r="KE83" s="45">
        <v>1711.3405</v>
      </c>
      <c r="KF83" s="45">
        <v>5025.0540540540542</v>
      </c>
      <c r="KG83" s="45">
        <v>2109.6702702702701</v>
      </c>
      <c r="KH83" s="45">
        <v>2263.1135135135137</v>
      </c>
      <c r="KI83" s="45">
        <v>1571.7729729729729</v>
      </c>
      <c r="KJ83" s="45">
        <v>1430.5135135135135</v>
      </c>
      <c r="KK83" s="45">
        <v>5880.610810810811</v>
      </c>
      <c r="KL83" s="45">
        <v>9275.4864864864867</v>
      </c>
      <c r="KM83" s="45">
        <v>16653.909189189191</v>
      </c>
      <c r="KN83" s="45">
        <v>12805.87027027027</v>
      </c>
      <c r="KO83" s="45">
        <v>16663.35135135135</v>
      </c>
      <c r="KP83" s="45">
        <v>18597.140540540542</v>
      </c>
      <c r="KQ83" s="45">
        <v>14991.778378378378</v>
      </c>
      <c r="KR83" s="45">
        <v>9078.4540540540547</v>
      </c>
      <c r="KS83" s="45">
        <v>2109.389189189189</v>
      </c>
      <c r="KT83" s="45">
        <v>462.65405405405403</v>
      </c>
      <c r="KU83" s="45">
        <v>5647.9621621621618</v>
      </c>
      <c r="KV83" s="45">
        <v>14466.87027027027</v>
      </c>
      <c r="KW83" s="45">
        <v>25338.335135135134</v>
      </c>
      <c r="KX83" s="45">
        <v>21448.297297297297</v>
      </c>
      <c r="KY83" s="45">
        <v>22224.113513513512</v>
      </c>
      <c r="KZ83" s="45">
        <v>19522.254054054054</v>
      </c>
      <c r="LA83" s="45">
        <v>19076.972972972973</v>
      </c>
      <c r="LB83" s="45">
        <v>13174.945945945947</v>
      </c>
      <c r="LC83" s="45">
        <v>6712.8864864864863</v>
      </c>
      <c r="LD83" s="45">
        <v>1913.3459459459459</v>
      </c>
      <c r="LE83" s="45">
        <v>273.97297297297297</v>
      </c>
      <c r="LF83" s="45">
        <v>3120.610810810811</v>
      </c>
      <c r="LG83" s="45">
        <v>13963.913513513513</v>
      </c>
      <c r="LH83" s="45">
        <v>25164.713513513514</v>
      </c>
      <c r="LI83" s="45">
        <v>28247.508108108108</v>
      </c>
      <c r="LJ83" s="45">
        <v>18499.281081081081</v>
      </c>
      <c r="LK83" s="45">
        <v>17972.908108108109</v>
      </c>
      <c r="LL83" s="45">
        <v>8669.6</v>
      </c>
      <c r="LM83" s="45">
        <v>7725.0432432432435</v>
      </c>
      <c r="LN83" s="45">
        <v>9207</v>
      </c>
      <c r="LO83" s="45">
        <v>2023.791891891892</v>
      </c>
      <c r="LP83" s="45">
        <v>14189.464864864865</v>
      </c>
      <c r="LQ83" s="45">
        <v>9167.0868648648648</v>
      </c>
      <c r="LR83" s="45">
        <v>10179.756756756757</v>
      </c>
      <c r="LS83" s="45">
        <v>8370.4847567567558</v>
      </c>
      <c r="LT83" s="45">
        <v>14632.292486486485</v>
      </c>
      <c r="LU83" s="43"/>
      <c r="LV83" s="43"/>
      <c r="LW83" s="43"/>
      <c r="LX83" s="43"/>
    </row>
    <row r="84" spans="1:336" s="29" customFormat="1" x14ac:dyDescent="0.3">
      <c r="A84" s="33" t="s">
        <v>88</v>
      </c>
      <c r="B84" s="46" t="s">
        <v>89</v>
      </c>
      <c r="C84" s="43">
        <v>423</v>
      </c>
      <c r="D84" s="44">
        <v>405.8</v>
      </c>
      <c r="E84" s="44">
        <v>276.36</v>
      </c>
      <c r="F84" s="44">
        <v>585.70000000000005</v>
      </c>
      <c r="G84" s="44">
        <v>633.97</v>
      </c>
      <c r="H84" s="44">
        <v>351</v>
      </c>
      <c r="I84" s="44">
        <v>803</v>
      </c>
      <c r="J84" s="44">
        <v>522</v>
      </c>
      <c r="K84" s="44">
        <v>278.8</v>
      </c>
      <c r="L84" s="44">
        <v>390.6</v>
      </c>
      <c r="M84" s="44">
        <v>476.3</v>
      </c>
      <c r="N84" s="44">
        <v>407.3</v>
      </c>
      <c r="O84" s="44">
        <v>731.7</v>
      </c>
      <c r="P84" s="44">
        <v>534.9</v>
      </c>
      <c r="Q84" s="44">
        <v>645.29999999999995</v>
      </c>
      <c r="R84" s="44">
        <v>532.79999999999995</v>
      </c>
      <c r="S84" s="44">
        <v>622.5</v>
      </c>
      <c r="T84" s="44">
        <v>307.56</v>
      </c>
      <c r="U84" s="44">
        <v>1026.2</v>
      </c>
      <c r="V84" s="44">
        <v>720.4</v>
      </c>
      <c r="W84" s="44">
        <v>878.8</v>
      </c>
      <c r="X84" s="44">
        <v>770.7</v>
      </c>
      <c r="Y84" s="44">
        <v>883.4</v>
      </c>
      <c r="Z84" s="44">
        <v>762.1</v>
      </c>
      <c r="AA84" s="44">
        <v>1088.8</v>
      </c>
      <c r="AB84" s="44">
        <v>821.5</v>
      </c>
      <c r="AC84" s="44">
        <v>745.6</v>
      </c>
      <c r="AD84" s="44">
        <v>713.98</v>
      </c>
      <c r="AE84" s="44">
        <v>942.12</v>
      </c>
      <c r="AF84" s="44">
        <v>934.27</v>
      </c>
      <c r="AG84" s="44">
        <v>881.4</v>
      </c>
      <c r="AH84" s="44">
        <v>730</v>
      </c>
      <c r="AI84" s="44">
        <v>657.4</v>
      </c>
      <c r="AJ84" s="44">
        <v>964.2</v>
      </c>
      <c r="AK84" s="44">
        <v>1157.1199999999999</v>
      </c>
      <c r="AL84" s="44">
        <v>923.81</v>
      </c>
      <c r="AM84" s="44">
        <v>1151.9000000000001</v>
      </c>
      <c r="AN84" s="44">
        <v>1010.32</v>
      </c>
      <c r="AO84" s="44">
        <v>636.17999999999995</v>
      </c>
      <c r="AP84" s="44">
        <v>1009.71</v>
      </c>
      <c r="AQ84" s="44">
        <v>1320.76</v>
      </c>
      <c r="AR84" s="44">
        <v>834.68</v>
      </c>
      <c r="AS84" s="44">
        <v>1365.04</v>
      </c>
      <c r="AT84" s="44">
        <v>854.53</v>
      </c>
      <c r="AU84" s="44">
        <v>714.96</v>
      </c>
      <c r="AV84" s="44">
        <v>954.97</v>
      </c>
      <c r="AW84" s="44">
        <v>992.63</v>
      </c>
      <c r="AX84" s="44">
        <v>1203.47</v>
      </c>
      <c r="AY84" s="44">
        <v>1658.03</v>
      </c>
      <c r="AZ84" s="44">
        <v>678.13</v>
      </c>
      <c r="BA84" s="44">
        <v>1040.93</v>
      </c>
      <c r="BB84" s="44">
        <v>575.58000000000004</v>
      </c>
      <c r="BC84" s="44">
        <v>898.45</v>
      </c>
      <c r="BD84" s="44">
        <v>746</v>
      </c>
      <c r="BE84" s="44">
        <v>1044.8</v>
      </c>
      <c r="BF84" s="44">
        <v>952.88</v>
      </c>
      <c r="BG84" s="44">
        <v>841.17</v>
      </c>
      <c r="BH84" s="44">
        <v>1862.57</v>
      </c>
      <c r="BI84" s="44">
        <v>1193.6099999999999</v>
      </c>
      <c r="BJ84" s="44">
        <v>1116.4100000000001</v>
      </c>
      <c r="BK84" s="44">
        <v>1106.93</v>
      </c>
      <c r="BL84" s="44">
        <v>913.19</v>
      </c>
      <c r="BM84" s="44">
        <v>1047.97</v>
      </c>
      <c r="BN84" s="44" t="s">
        <v>86</v>
      </c>
      <c r="BO84" s="44">
        <v>1566.87</v>
      </c>
      <c r="BP84" s="44">
        <v>1065.8900000000001</v>
      </c>
      <c r="BQ84" s="44">
        <v>1939.54</v>
      </c>
      <c r="BR84" s="44">
        <v>1253.1300000000001</v>
      </c>
      <c r="BS84" s="44">
        <v>657.49</v>
      </c>
      <c r="BT84" s="44">
        <v>1074.92</v>
      </c>
      <c r="BU84" s="44">
        <v>1661.21</v>
      </c>
      <c r="BV84" s="44">
        <v>1540.83</v>
      </c>
      <c r="BW84" s="44">
        <v>977</v>
      </c>
      <c r="BX84" s="44">
        <v>1112.2</v>
      </c>
      <c r="BY84" s="44">
        <v>1348.86</v>
      </c>
      <c r="BZ84" s="44">
        <v>1334.81</v>
      </c>
      <c r="CA84" s="44">
        <v>1930.5450000000001</v>
      </c>
      <c r="CB84" s="44">
        <v>1125.915</v>
      </c>
      <c r="CC84" s="44">
        <v>544.91999999999996</v>
      </c>
      <c r="CD84" s="44">
        <v>1703</v>
      </c>
      <c r="CE84" s="44">
        <v>1800.83</v>
      </c>
      <c r="CF84" s="44">
        <v>2244.23</v>
      </c>
      <c r="CG84" s="44">
        <v>2202.4899999999998</v>
      </c>
      <c r="CH84" s="44">
        <v>1903.04</v>
      </c>
      <c r="CI84" s="44">
        <v>1787.27</v>
      </c>
      <c r="CJ84" s="44">
        <v>1722.62</v>
      </c>
      <c r="CK84" s="44">
        <v>1280.4000000000001</v>
      </c>
      <c r="CL84" s="44">
        <v>1712.75</v>
      </c>
      <c r="CM84" s="44">
        <v>1869.01</v>
      </c>
      <c r="CN84" s="44">
        <v>2705.4</v>
      </c>
      <c r="CO84" s="44">
        <v>1863.15</v>
      </c>
      <c r="CP84" s="44">
        <v>1511.69</v>
      </c>
      <c r="CQ84" s="44">
        <v>1533.31</v>
      </c>
      <c r="CR84" s="44">
        <v>2153.61</v>
      </c>
      <c r="CS84" s="44">
        <v>1979.75</v>
      </c>
      <c r="CT84" s="44">
        <v>2126.11</v>
      </c>
      <c r="CU84" s="44">
        <v>1127.8</v>
      </c>
      <c r="CV84" s="44">
        <v>681.97</v>
      </c>
      <c r="CW84" s="44">
        <v>1637.43</v>
      </c>
      <c r="CX84" s="44">
        <v>1891.92</v>
      </c>
      <c r="CY84" s="44">
        <v>2207.14</v>
      </c>
      <c r="CZ84" s="44">
        <v>3003.56</v>
      </c>
      <c r="DA84" s="44">
        <v>2422.09</v>
      </c>
      <c r="DB84" s="44">
        <v>2179.21</v>
      </c>
      <c r="DC84" s="44">
        <v>1423.3</v>
      </c>
      <c r="DD84" s="44">
        <v>1667</v>
      </c>
      <c r="DE84" s="44">
        <v>2732</v>
      </c>
      <c r="DF84" s="44">
        <v>2376</v>
      </c>
      <c r="DG84" s="44">
        <v>1150</v>
      </c>
      <c r="DH84" s="44">
        <v>1388.6</v>
      </c>
      <c r="DI84" s="44">
        <v>2143.13</v>
      </c>
      <c r="DJ84" s="44">
        <v>2776.03</v>
      </c>
      <c r="DK84" s="44">
        <v>2601</v>
      </c>
      <c r="DL84" s="44">
        <v>2558.33</v>
      </c>
      <c r="DM84" s="44">
        <v>2813.46</v>
      </c>
      <c r="DN84" s="44">
        <v>2183.42</v>
      </c>
      <c r="DO84" s="44">
        <v>2392.96</v>
      </c>
      <c r="DP84" s="44">
        <v>2206.5500000000002</v>
      </c>
      <c r="DQ84" s="44">
        <v>2698.93</v>
      </c>
      <c r="DR84" s="44">
        <v>2506.04</v>
      </c>
      <c r="DS84" s="44">
        <v>2412.5</v>
      </c>
      <c r="DT84" s="44">
        <v>2251.75</v>
      </c>
      <c r="DU84" s="44">
        <v>2385</v>
      </c>
      <c r="DV84" s="44">
        <v>2338.65</v>
      </c>
      <c r="DW84" s="44">
        <v>2691</v>
      </c>
      <c r="DX84" s="44">
        <v>3361.08</v>
      </c>
      <c r="DY84" s="44">
        <v>2740.6</v>
      </c>
      <c r="DZ84" s="44">
        <v>1643.96</v>
      </c>
      <c r="EA84" s="44">
        <v>1716.84</v>
      </c>
      <c r="EB84" s="44">
        <v>2741.5</v>
      </c>
      <c r="EC84" s="44">
        <v>2825.56</v>
      </c>
      <c r="ED84" s="44">
        <v>2483.5</v>
      </c>
      <c r="EE84" s="44">
        <v>2193.42</v>
      </c>
      <c r="EF84" s="44">
        <v>1627.24</v>
      </c>
      <c r="EG84" s="44">
        <v>2400.79</v>
      </c>
      <c r="EH84" s="44">
        <v>2781.22</v>
      </c>
      <c r="EI84" s="44">
        <v>2543.44</v>
      </c>
      <c r="EJ84" s="44">
        <v>3054.37</v>
      </c>
      <c r="EK84" s="44">
        <v>3665.21</v>
      </c>
      <c r="EL84" s="44">
        <v>2230.34</v>
      </c>
      <c r="EM84" s="44">
        <v>1927.55</v>
      </c>
      <c r="EN84" s="44">
        <v>1723.15</v>
      </c>
      <c r="EO84" s="44">
        <v>3866.18</v>
      </c>
      <c r="EP84" s="44">
        <v>3224.57</v>
      </c>
      <c r="EQ84" s="44">
        <v>5442.64</v>
      </c>
      <c r="ER84" s="44">
        <v>2126.4299999999998</v>
      </c>
      <c r="ES84" s="44">
        <v>4519.8</v>
      </c>
      <c r="ET84" s="44">
        <v>2570.9699999999998</v>
      </c>
      <c r="EU84" s="44">
        <v>3765.68</v>
      </c>
      <c r="EV84" s="44">
        <v>2649.59</v>
      </c>
      <c r="EW84" s="44">
        <v>3313.3</v>
      </c>
      <c r="EX84" s="44">
        <v>2352.31</v>
      </c>
      <c r="EY84" s="44">
        <v>3174.28</v>
      </c>
      <c r="EZ84" s="44">
        <v>3068.24</v>
      </c>
      <c r="FA84" s="44">
        <v>3778.52</v>
      </c>
      <c r="FB84" s="44">
        <v>2958.92</v>
      </c>
      <c r="FC84" s="44">
        <v>1905.33</v>
      </c>
      <c r="FD84" s="44">
        <v>1339.24</v>
      </c>
      <c r="FE84" s="44">
        <v>2860.54</v>
      </c>
      <c r="FF84" s="44">
        <v>3341.3</v>
      </c>
      <c r="FG84" s="44">
        <v>3281.72</v>
      </c>
      <c r="FH84" s="44">
        <v>4060.37</v>
      </c>
      <c r="FI84" s="44">
        <v>3001.3</v>
      </c>
      <c r="FJ84" s="44">
        <v>2008.81</v>
      </c>
      <c r="FK84" s="44">
        <v>1754.06</v>
      </c>
      <c r="FL84" s="44">
        <v>4033.31</v>
      </c>
      <c r="FM84" s="44">
        <v>3122.78</v>
      </c>
      <c r="FN84" s="44">
        <v>3299.68</v>
      </c>
      <c r="FO84" s="44">
        <v>2995.91</v>
      </c>
      <c r="FP84" s="44">
        <v>2785.5</v>
      </c>
      <c r="FQ84" s="44">
        <v>3238.59</v>
      </c>
      <c r="FR84" s="44">
        <v>2960.15</v>
      </c>
      <c r="FS84" s="44">
        <v>3323.97</v>
      </c>
      <c r="FT84" s="44">
        <v>4080.92</v>
      </c>
      <c r="FU84" s="44">
        <v>2734.13</v>
      </c>
      <c r="FV84" s="44">
        <v>1060.25</v>
      </c>
      <c r="FW84" s="44">
        <v>159.5</v>
      </c>
      <c r="FX84" s="44">
        <v>274</v>
      </c>
      <c r="FY84" s="44">
        <v>117.4</v>
      </c>
      <c r="FZ84" s="44">
        <v>3387.43</v>
      </c>
      <c r="GA84" s="44">
        <v>2732.86</v>
      </c>
      <c r="GB84" s="44">
        <v>2580.77</v>
      </c>
      <c r="GC84" s="44">
        <v>2863.49</v>
      </c>
      <c r="GD84" s="44">
        <v>3312.99</v>
      </c>
      <c r="GE84" s="44">
        <v>4091.31</v>
      </c>
      <c r="GF84" s="44">
        <v>3753</v>
      </c>
      <c r="GG84" s="44">
        <v>4254.2700000000004</v>
      </c>
      <c r="GH84" s="44">
        <v>3529.09</v>
      </c>
      <c r="GI84" s="44">
        <v>2743.58</v>
      </c>
      <c r="GJ84" s="44">
        <v>2704.76</v>
      </c>
      <c r="GK84" s="44">
        <v>4439.54</v>
      </c>
      <c r="GL84" s="44">
        <v>4109.5600000000004</v>
      </c>
      <c r="GM84" s="44">
        <v>3606.06</v>
      </c>
      <c r="GN84" s="44">
        <v>3829.34</v>
      </c>
      <c r="GO84" s="44">
        <v>2880.4</v>
      </c>
      <c r="GP84" s="44">
        <v>4211.5</v>
      </c>
      <c r="GQ84" s="44">
        <v>3963.39</v>
      </c>
      <c r="GR84" s="44">
        <v>3851.92</v>
      </c>
      <c r="GS84" s="44">
        <v>3894.75</v>
      </c>
      <c r="GT84" s="44">
        <v>3903.36</v>
      </c>
      <c r="GU84" s="44">
        <v>2239.73</v>
      </c>
      <c r="GV84" s="44">
        <v>3810.49</v>
      </c>
      <c r="GW84" s="44">
        <v>4712.8</v>
      </c>
      <c r="GX84" s="44">
        <v>3525.84</v>
      </c>
      <c r="GY84" s="44">
        <v>3903.28</v>
      </c>
      <c r="GZ84" s="44">
        <v>3472.74</v>
      </c>
      <c r="HA84" s="44">
        <v>3188.2</v>
      </c>
      <c r="HB84" s="44">
        <v>4638.71</v>
      </c>
      <c r="HC84" s="44">
        <v>4672</v>
      </c>
      <c r="HD84" s="44">
        <v>4082.35</v>
      </c>
      <c r="HE84" s="44">
        <v>3826.77</v>
      </c>
      <c r="HF84" s="44">
        <v>2912.89</v>
      </c>
      <c r="HG84" s="44">
        <v>4627.5600000000004</v>
      </c>
      <c r="HH84" s="44">
        <v>3932.4</v>
      </c>
      <c r="HI84" s="44">
        <v>4361.78</v>
      </c>
      <c r="HJ84" s="44">
        <v>4650.75</v>
      </c>
      <c r="HK84" s="44">
        <v>4282.84</v>
      </c>
      <c r="HL84" s="44">
        <v>2522.6799999999998</v>
      </c>
      <c r="HM84" s="44">
        <v>3013.89</v>
      </c>
      <c r="HN84" s="44">
        <v>5061.3500000000004</v>
      </c>
      <c r="HO84" s="44">
        <v>4393.47</v>
      </c>
      <c r="HP84" s="44">
        <v>4686.3599999999997</v>
      </c>
      <c r="HQ84" s="44">
        <v>4779</v>
      </c>
      <c r="HR84" s="44">
        <v>3476</v>
      </c>
      <c r="HS84" s="44">
        <v>4779.6499999999996</v>
      </c>
      <c r="HT84" s="44">
        <v>5409.19</v>
      </c>
      <c r="HU84" s="44">
        <v>4578</v>
      </c>
      <c r="HV84" s="44">
        <v>5104.7700000000004</v>
      </c>
      <c r="HW84" s="44">
        <v>4470.3</v>
      </c>
      <c r="HX84" s="44">
        <v>3349.18</v>
      </c>
      <c r="HY84" s="44">
        <v>3272.4500000000003</v>
      </c>
      <c r="HZ84" s="44">
        <v>4630.7700000000004</v>
      </c>
      <c r="IA84" s="44">
        <v>5265.08</v>
      </c>
      <c r="IB84" s="44">
        <v>4570.7</v>
      </c>
      <c r="IC84" s="44">
        <v>5378.0999999999995</v>
      </c>
      <c r="ID84" s="44">
        <v>2851.3700000000003</v>
      </c>
      <c r="IE84" s="44">
        <v>3345.4270000000001</v>
      </c>
      <c r="IF84" s="44">
        <v>4444.13</v>
      </c>
      <c r="IG84" s="44">
        <v>5412.1880000000001</v>
      </c>
      <c r="IH84" s="44">
        <v>4750.5469999999996</v>
      </c>
      <c r="II84" s="44">
        <v>5168.66</v>
      </c>
      <c r="IJ84" s="44">
        <v>4197.12</v>
      </c>
      <c r="IK84" s="43">
        <v>4383.3100000000004</v>
      </c>
      <c r="IL84" s="43">
        <v>4976.6400000000003</v>
      </c>
      <c r="IM84" s="43">
        <v>5214.26</v>
      </c>
      <c r="IN84" s="43">
        <v>5256.56</v>
      </c>
      <c r="IO84" s="43">
        <v>5566.5879999999997</v>
      </c>
      <c r="IP84" s="43">
        <v>3147.2170000000001</v>
      </c>
      <c r="IQ84" s="43">
        <v>2364.8200000000002</v>
      </c>
      <c r="IR84" s="43">
        <v>2959.58</v>
      </c>
      <c r="IS84" s="43">
        <v>6264.86</v>
      </c>
      <c r="IT84" s="43">
        <v>4902.78</v>
      </c>
      <c r="IU84" s="43">
        <v>5462.68</v>
      </c>
      <c r="IV84" s="43">
        <v>4803.78</v>
      </c>
      <c r="IW84" s="43">
        <v>4243.08</v>
      </c>
      <c r="IX84" s="43">
        <v>4874.07</v>
      </c>
      <c r="IY84" s="43">
        <v>5748.3</v>
      </c>
      <c r="IZ84" s="43">
        <v>4880.92</v>
      </c>
      <c r="JA84" s="43">
        <v>6306</v>
      </c>
      <c r="JB84" s="43">
        <v>5024.6499999999996</v>
      </c>
      <c r="JC84" s="43">
        <v>4195.8999999999996</v>
      </c>
      <c r="JD84" s="43">
        <v>5728.27</v>
      </c>
      <c r="JE84" s="43">
        <v>6685.76</v>
      </c>
      <c r="JF84" s="43">
        <v>5502.32</v>
      </c>
      <c r="JG84" s="43">
        <v>4092.96</v>
      </c>
      <c r="JH84" s="43">
        <v>2841.68</v>
      </c>
      <c r="JI84" s="43">
        <v>4010.36</v>
      </c>
      <c r="JJ84" s="43">
        <v>6168.67</v>
      </c>
      <c r="JK84" s="43">
        <v>5604.42</v>
      </c>
      <c r="JL84" s="43">
        <v>5319.37</v>
      </c>
      <c r="JM84" s="43">
        <v>6116.88</v>
      </c>
      <c r="JN84" s="43">
        <v>3528.33</v>
      </c>
      <c r="JO84" s="43">
        <v>3178.12</v>
      </c>
      <c r="JP84" s="43">
        <v>4705.78</v>
      </c>
      <c r="JQ84" s="43">
        <v>7673.13</v>
      </c>
      <c r="JR84" s="43">
        <v>5751.46</v>
      </c>
      <c r="JS84" s="43">
        <v>5205.25</v>
      </c>
      <c r="JT84" s="43">
        <v>4074.75</v>
      </c>
      <c r="JU84" s="43">
        <v>4437.8609999999999</v>
      </c>
      <c r="JV84" s="43">
        <v>5250.33</v>
      </c>
      <c r="JW84" s="43">
        <v>5660.3459999999995</v>
      </c>
      <c r="JX84" s="43">
        <v>4921.5420000000004</v>
      </c>
      <c r="JY84" s="43">
        <v>4622.5839999999998</v>
      </c>
      <c r="JZ84" s="43">
        <v>2838.694</v>
      </c>
      <c r="KA84" s="43">
        <v>2373.37</v>
      </c>
      <c r="KB84" s="43">
        <v>3484.5929999999998</v>
      </c>
      <c r="KC84" s="43">
        <v>5852.2280000000001</v>
      </c>
      <c r="KD84" s="43">
        <v>4778.3289999999997</v>
      </c>
      <c r="KE84" s="43">
        <v>5026.9750000000004</v>
      </c>
      <c r="KF84" s="43">
        <v>4554.8680000000004</v>
      </c>
      <c r="KG84" s="43">
        <v>4002.864</v>
      </c>
      <c r="KH84" s="43">
        <v>5161.3190000000004</v>
      </c>
      <c r="KI84" s="43">
        <v>2655.922</v>
      </c>
      <c r="KJ84" s="43">
        <v>5429.9120000000003</v>
      </c>
      <c r="KK84" s="43">
        <v>5488.9340000000002</v>
      </c>
      <c r="KL84" s="43">
        <v>3857.5880000000002</v>
      </c>
      <c r="KM84" s="43">
        <v>2977.752</v>
      </c>
      <c r="KN84" s="43">
        <v>4147.6019999999999</v>
      </c>
      <c r="KO84" s="43">
        <v>6299.4610000000002</v>
      </c>
      <c r="KP84" s="43">
        <v>5385.8</v>
      </c>
      <c r="KQ84" s="43">
        <v>5022.4669999999996</v>
      </c>
      <c r="KR84" s="43">
        <v>3670.4070000000002</v>
      </c>
      <c r="KS84" s="43">
        <v>3942.924</v>
      </c>
      <c r="KT84" s="43">
        <v>5030.5789999999997</v>
      </c>
      <c r="KU84" s="43">
        <v>5815.4459999999999</v>
      </c>
      <c r="KV84" s="43">
        <v>4977.6909999999998</v>
      </c>
      <c r="KW84" s="43">
        <v>4915.9560000000001</v>
      </c>
      <c r="KX84" s="43">
        <v>2802.81</v>
      </c>
      <c r="KY84" s="43">
        <v>3299.6930000000002</v>
      </c>
      <c r="KZ84" s="43">
        <v>4634.6850000000004</v>
      </c>
      <c r="LA84" s="43">
        <v>5557.7139999999999</v>
      </c>
      <c r="LB84" s="43">
        <v>4963.4769999999999</v>
      </c>
      <c r="LC84" s="43">
        <v>4413.6289999999999</v>
      </c>
      <c r="LD84" s="43">
        <v>3292.19</v>
      </c>
      <c r="LE84" s="43">
        <v>5172.1210000000001</v>
      </c>
      <c r="LF84" s="43">
        <v>6450.5439999999999</v>
      </c>
      <c r="LG84" s="43">
        <v>7035.4979999999996</v>
      </c>
      <c r="LH84" s="43">
        <v>6938.5659999999998</v>
      </c>
      <c r="LI84" s="43">
        <v>5945.79</v>
      </c>
      <c r="LJ84" s="43">
        <v>3587.8330000000001</v>
      </c>
      <c r="LK84" s="43">
        <v>3365.578</v>
      </c>
      <c r="LL84" s="43">
        <v>6817.53</v>
      </c>
      <c r="LM84" s="43">
        <v>7301.8360000000002</v>
      </c>
      <c r="LN84" s="43">
        <v>7260.4290000000001</v>
      </c>
      <c r="LO84" s="43">
        <v>6511.9059999999999</v>
      </c>
      <c r="LP84" s="43">
        <v>4702.3159999999998</v>
      </c>
      <c r="LQ84" s="43">
        <v>5374.3530000000001</v>
      </c>
      <c r="LR84" s="43">
        <v>6465.8639999999996</v>
      </c>
      <c r="LS84" s="43">
        <v>7063.8149999999996</v>
      </c>
      <c r="LT84" s="43">
        <v>5964.7520000000004</v>
      </c>
      <c r="LU84" s="43"/>
      <c r="LV84" s="43"/>
      <c r="LW84" s="43"/>
      <c r="LX84" s="43"/>
    </row>
    <row r="85" spans="1:336" s="29" customFormat="1" x14ac:dyDescent="0.3">
      <c r="A85" s="33" t="s">
        <v>90</v>
      </c>
      <c r="B85" s="46" t="s">
        <v>89</v>
      </c>
      <c r="C85" s="43" t="s">
        <v>86</v>
      </c>
      <c r="D85" s="44" t="s">
        <v>86</v>
      </c>
      <c r="E85" s="44">
        <v>12.64</v>
      </c>
      <c r="F85" s="44">
        <v>182</v>
      </c>
      <c r="G85" s="44">
        <v>171.6</v>
      </c>
      <c r="H85" s="44">
        <v>400.63</v>
      </c>
      <c r="I85" s="44">
        <v>426</v>
      </c>
      <c r="J85" s="44">
        <v>202.7</v>
      </c>
      <c r="K85" s="44">
        <v>159.80000000000001</v>
      </c>
      <c r="L85" s="44">
        <v>68.599999999999994</v>
      </c>
      <c r="M85" s="44">
        <v>20</v>
      </c>
      <c r="N85" s="44" t="s">
        <v>86</v>
      </c>
      <c r="O85" s="44">
        <v>112.8</v>
      </c>
      <c r="P85" s="44" t="s">
        <v>86</v>
      </c>
      <c r="Q85" s="44">
        <v>246.7</v>
      </c>
      <c r="R85" s="44">
        <v>307.20999999999998</v>
      </c>
      <c r="S85" s="44">
        <v>426.24</v>
      </c>
      <c r="T85" s="44">
        <v>232.32</v>
      </c>
      <c r="U85" s="44">
        <v>400.7</v>
      </c>
      <c r="V85" s="44">
        <v>334.4</v>
      </c>
      <c r="W85" s="44">
        <v>511.8</v>
      </c>
      <c r="X85" s="44">
        <v>364.3</v>
      </c>
      <c r="Y85" s="44">
        <v>143.69999999999999</v>
      </c>
      <c r="Z85" s="44">
        <v>660.6</v>
      </c>
      <c r="AA85" s="44">
        <v>643.20000000000005</v>
      </c>
      <c r="AB85" s="44">
        <v>94.8</v>
      </c>
      <c r="AC85" s="44" t="s">
        <v>86</v>
      </c>
      <c r="AD85" s="44">
        <v>77.599999999999994</v>
      </c>
      <c r="AE85" s="44">
        <v>313.7</v>
      </c>
      <c r="AF85" s="44">
        <v>367.44</v>
      </c>
      <c r="AG85" s="44">
        <v>237.3</v>
      </c>
      <c r="AH85" s="44">
        <v>576.24</v>
      </c>
      <c r="AI85" s="44">
        <v>489.65</v>
      </c>
      <c r="AJ85" s="44">
        <v>108.45</v>
      </c>
      <c r="AK85" s="44">
        <v>105.6</v>
      </c>
      <c r="AL85" s="44">
        <v>86.4</v>
      </c>
      <c r="AM85" s="44" t="s">
        <v>86</v>
      </c>
      <c r="AN85" s="44">
        <v>166.2</v>
      </c>
      <c r="AO85" s="44">
        <v>166.2</v>
      </c>
      <c r="AP85" s="44">
        <v>104.75</v>
      </c>
      <c r="AQ85" s="44">
        <v>525.70000000000005</v>
      </c>
      <c r="AR85" s="44">
        <v>769.44</v>
      </c>
      <c r="AS85" s="44">
        <v>535.04999999999995</v>
      </c>
      <c r="AT85" s="44">
        <v>347.16</v>
      </c>
      <c r="AU85" s="44">
        <v>430.43</v>
      </c>
      <c r="AV85" s="44">
        <v>402.04</v>
      </c>
      <c r="AW85" s="44">
        <v>259.52</v>
      </c>
      <c r="AX85" s="44">
        <v>231.43</v>
      </c>
      <c r="AY85" s="44">
        <v>537.6</v>
      </c>
      <c r="AZ85" s="44">
        <v>441.36</v>
      </c>
      <c r="BA85" s="44">
        <v>301.79000000000002</v>
      </c>
      <c r="BB85" s="44">
        <v>421.3</v>
      </c>
      <c r="BC85" s="44">
        <v>378.4</v>
      </c>
      <c r="BD85" s="44">
        <v>838.46</v>
      </c>
      <c r="BE85" s="44">
        <v>539.78</v>
      </c>
      <c r="BF85" s="44">
        <v>407.01</v>
      </c>
      <c r="BG85" s="44">
        <v>112.2</v>
      </c>
      <c r="BH85" s="44">
        <v>90.8</v>
      </c>
      <c r="BI85" s="44">
        <v>232.84</v>
      </c>
      <c r="BJ85" s="44">
        <v>30.09</v>
      </c>
      <c r="BK85" s="44">
        <v>179.76</v>
      </c>
      <c r="BL85" s="44">
        <v>68.45</v>
      </c>
      <c r="BM85" s="44">
        <v>204.5</v>
      </c>
      <c r="BN85" s="44" t="s">
        <v>86</v>
      </c>
      <c r="BO85" s="44">
        <v>365.63</v>
      </c>
      <c r="BP85" s="44">
        <v>259.68</v>
      </c>
      <c r="BQ85" s="44">
        <v>790.73</v>
      </c>
      <c r="BR85" s="44">
        <v>710.15</v>
      </c>
      <c r="BS85" s="44">
        <v>839.88</v>
      </c>
      <c r="BT85" s="44">
        <v>507.39</v>
      </c>
      <c r="BU85" s="44">
        <v>103.27</v>
      </c>
      <c r="BV85" s="44">
        <v>268.39999999999998</v>
      </c>
      <c r="BW85" s="44">
        <v>281.27999999999997</v>
      </c>
      <c r="BX85" s="44">
        <v>1372.5</v>
      </c>
      <c r="BY85" s="44">
        <v>533.29</v>
      </c>
      <c r="BZ85" s="44">
        <v>1411.38</v>
      </c>
      <c r="CA85" s="44">
        <v>1217.904</v>
      </c>
      <c r="CB85" s="44">
        <v>680.41</v>
      </c>
      <c r="CC85" s="44" t="s">
        <v>86</v>
      </c>
      <c r="CD85" s="44">
        <v>710.89</v>
      </c>
      <c r="CE85" s="44">
        <v>379.36</v>
      </c>
      <c r="CF85" s="44">
        <v>658.55</v>
      </c>
      <c r="CG85" s="44">
        <v>225.97</v>
      </c>
      <c r="CH85" s="44">
        <v>790</v>
      </c>
      <c r="CI85" s="44">
        <v>84.54</v>
      </c>
      <c r="CJ85" s="44">
        <v>981</v>
      </c>
      <c r="CK85" s="44">
        <v>1052.92</v>
      </c>
      <c r="CL85" s="44">
        <v>1392</v>
      </c>
      <c r="CM85" s="44">
        <v>1342</v>
      </c>
      <c r="CN85" s="44">
        <v>1175</v>
      </c>
      <c r="CO85" s="44">
        <v>468</v>
      </c>
      <c r="CP85" s="44">
        <v>1449</v>
      </c>
      <c r="CQ85" s="44">
        <v>1467.32</v>
      </c>
      <c r="CR85" s="44">
        <v>477.33</v>
      </c>
      <c r="CS85" s="44">
        <v>466.2</v>
      </c>
      <c r="CT85" s="44">
        <v>238.07</v>
      </c>
      <c r="CU85" s="44">
        <v>76.8</v>
      </c>
      <c r="CV85" s="44">
        <v>351.48</v>
      </c>
      <c r="CW85" s="44">
        <v>988.2</v>
      </c>
      <c r="CX85" s="44">
        <v>17.600000000000001</v>
      </c>
      <c r="CY85" s="44" t="s">
        <v>86</v>
      </c>
      <c r="CZ85" s="44">
        <v>1131</v>
      </c>
      <c r="DA85" s="44">
        <v>1175.8</v>
      </c>
      <c r="DB85" s="44">
        <v>922.8</v>
      </c>
      <c r="DC85" s="44">
        <v>1390.22</v>
      </c>
      <c r="DD85" s="44">
        <v>2274.58</v>
      </c>
      <c r="DE85" s="44">
        <v>657.73</v>
      </c>
      <c r="DF85" s="44">
        <v>1323.04</v>
      </c>
      <c r="DG85" s="44">
        <v>50</v>
      </c>
      <c r="DH85" s="44">
        <v>260.74</v>
      </c>
      <c r="DI85" s="44">
        <v>466.89</v>
      </c>
      <c r="DJ85" s="44">
        <v>647.07000000000005</v>
      </c>
      <c r="DK85" s="44">
        <v>1562.49</v>
      </c>
      <c r="DL85" s="44">
        <v>1495.06</v>
      </c>
      <c r="DM85" s="44">
        <v>1517</v>
      </c>
      <c r="DN85" s="44">
        <v>1260</v>
      </c>
      <c r="DO85" s="44">
        <v>1475.3</v>
      </c>
      <c r="DP85" s="44">
        <v>2107.02</v>
      </c>
      <c r="DQ85" s="44">
        <v>1029.07</v>
      </c>
      <c r="DR85" s="44">
        <v>896.35</v>
      </c>
      <c r="DS85" s="44">
        <v>497.55</v>
      </c>
      <c r="DT85" s="44">
        <v>1027.08</v>
      </c>
      <c r="DU85" s="44">
        <v>465.2</v>
      </c>
      <c r="DV85" s="44">
        <v>1769.13</v>
      </c>
      <c r="DW85" s="44">
        <v>865.71</v>
      </c>
      <c r="DX85" s="44">
        <v>1553.09</v>
      </c>
      <c r="DY85" s="44">
        <v>2054.6</v>
      </c>
      <c r="DZ85" s="44">
        <v>892.97</v>
      </c>
      <c r="EA85" s="44">
        <v>3849.6</v>
      </c>
      <c r="EB85" s="44">
        <v>1413.98</v>
      </c>
      <c r="EC85" s="44">
        <v>2194.42</v>
      </c>
      <c r="ED85" s="44">
        <v>1023.77</v>
      </c>
      <c r="EE85" s="44">
        <v>631.4</v>
      </c>
      <c r="EF85" s="44">
        <v>1253.44</v>
      </c>
      <c r="EG85" s="44">
        <v>779.11</v>
      </c>
      <c r="EH85" s="44">
        <v>1678.25</v>
      </c>
      <c r="EI85" s="44">
        <v>2842.07</v>
      </c>
      <c r="EJ85" s="44">
        <v>1554.62</v>
      </c>
      <c r="EK85" s="44">
        <v>3876.46</v>
      </c>
      <c r="EL85" s="44">
        <v>2127.98</v>
      </c>
      <c r="EM85" s="44">
        <v>3326.52</v>
      </c>
      <c r="EN85" s="44">
        <v>3593.27</v>
      </c>
      <c r="EO85" s="44">
        <v>1042.26</v>
      </c>
      <c r="EP85" s="44">
        <v>772.2</v>
      </c>
      <c r="EQ85" s="44">
        <v>1428.18</v>
      </c>
      <c r="ER85" s="44">
        <v>1558.07</v>
      </c>
      <c r="ES85" s="44">
        <v>3995.73</v>
      </c>
      <c r="ET85" s="44">
        <v>2908.3</v>
      </c>
      <c r="EU85" s="44">
        <v>578.32000000000005</v>
      </c>
      <c r="EV85" s="44">
        <v>287.52</v>
      </c>
      <c r="EW85" s="44">
        <v>2101.21</v>
      </c>
      <c r="EX85" s="44">
        <v>2794.9</v>
      </c>
      <c r="EY85" s="44">
        <v>4009.77</v>
      </c>
      <c r="EZ85" s="44">
        <v>2294.62</v>
      </c>
      <c r="FA85" s="44">
        <v>894.24</v>
      </c>
      <c r="FB85" s="44">
        <v>1062.75</v>
      </c>
      <c r="FC85" s="44">
        <v>1005.25</v>
      </c>
      <c r="FD85" s="44">
        <v>4191.26</v>
      </c>
      <c r="FE85" s="44">
        <v>3896.34</v>
      </c>
      <c r="FF85" s="44">
        <v>2131.69</v>
      </c>
      <c r="FG85" s="44">
        <v>1862.92</v>
      </c>
      <c r="FH85" s="44">
        <v>2477.9699999999998</v>
      </c>
      <c r="FI85" s="44">
        <v>1821.78</v>
      </c>
      <c r="FJ85" s="44">
        <v>2967.23</v>
      </c>
      <c r="FK85" s="44">
        <v>2082.36</v>
      </c>
      <c r="FL85" s="44">
        <v>2483.87</v>
      </c>
      <c r="FM85" s="44">
        <v>2582.4899999999998</v>
      </c>
      <c r="FN85" s="44">
        <v>1129</v>
      </c>
      <c r="FO85" s="44">
        <v>1361.2</v>
      </c>
      <c r="FP85" s="44">
        <v>1654.09</v>
      </c>
      <c r="FQ85" s="44">
        <v>2043.66</v>
      </c>
      <c r="FR85" s="44">
        <v>3503.1</v>
      </c>
      <c r="FS85" s="44" t="s">
        <v>87</v>
      </c>
      <c r="FT85" s="44" t="s">
        <v>87</v>
      </c>
      <c r="FU85" s="44">
        <v>1392.58</v>
      </c>
      <c r="FV85" s="44">
        <v>1521.25</v>
      </c>
      <c r="FW85" s="44">
        <v>1498.45</v>
      </c>
      <c r="FX85" s="44">
        <v>2123.14</v>
      </c>
      <c r="FY85" s="44">
        <v>2601.31</v>
      </c>
      <c r="FZ85" s="44">
        <v>1526.52</v>
      </c>
      <c r="GA85" s="44">
        <v>1763.48</v>
      </c>
      <c r="GB85" s="44">
        <v>1651.4</v>
      </c>
      <c r="GC85" s="44">
        <v>1279.3499999999999</v>
      </c>
      <c r="GD85" s="44">
        <v>746.23</v>
      </c>
      <c r="GE85" s="44">
        <v>113.5</v>
      </c>
      <c r="GF85" s="44">
        <v>1041.56</v>
      </c>
      <c r="GG85" s="44">
        <v>814.34</v>
      </c>
      <c r="GH85" s="44">
        <v>3122.99</v>
      </c>
      <c r="GI85" s="44">
        <v>3306.58</v>
      </c>
      <c r="GJ85" s="44">
        <v>1602.52</v>
      </c>
      <c r="GK85" s="44">
        <v>1586.8</v>
      </c>
      <c r="GL85" s="44">
        <v>2580.9899999999998</v>
      </c>
      <c r="GM85" s="44">
        <v>1141.0899999999999</v>
      </c>
      <c r="GN85" s="44">
        <v>1953.5</v>
      </c>
      <c r="GO85" s="44">
        <v>2435.91</v>
      </c>
      <c r="GP85" s="44">
        <v>2094.41</v>
      </c>
      <c r="GQ85" s="44">
        <v>3551.47</v>
      </c>
      <c r="GR85" s="44">
        <v>2486.7600000000002</v>
      </c>
      <c r="GS85" s="44">
        <v>8515.06</v>
      </c>
      <c r="GT85" s="44">
        <v>10705.83</v>
      </c>
      <c r="GU85" s="44">
        <v>16872.12</v>
      </c>
      <c r="GV85" s="44">
        <v>17491.86</v>
      </c>
      <c r="GW85" s="44">
        <v>18254.14</v>
      </c>
      <c r="GX85" s="44">
        <v>13880.59</v>
      </c>
      <c r="GY85" s="44">
        <v>18066.97</v>
      </c>
      <c r="GZ85" s="44">
        <v>3109.82</v>
      </c>
      <c r="HA85" s="44">
        <v>6105.97</v>
      </c>
      <c r="HB85" s="44">
        <v>4838</v>
      </c>
      <c r="HC85" s="44">
        <v>1810</v>
      </c>
      <c r="HD85" s="44">
        <v>2581</v>
      </c>
      <c r="HE85" s="44">
        <v>737.23</v>
      </c>
      <c r="HF85" s="44">
        <v>2427.41</v>
      </c>
      <c r="HG85" s="44">
        <v>1797.56</v>
      </c>
      <c r="HH85" s="44">
        <v>974.31</v>
      </c>
      <c r="HI85" s="44">
        <v>1549.71</v>
      </c>
      <c r="HJ85" s="44">
        <v>1441.52</v>
      </c>
      <c r="HK85" s="44">
        <v>3175.12</v>
      </c>
      <c r="HL85" s="44">
        <v>4742.1099999999997</v>
      </c>
      <c r="HM85" s="44">
        <v>3401.83</v>
      </c>
      <c r="HN85" s="44">
        <v>2616.58</v>
      </c>
      <c r="HO85" s="44">
        <v>4909.357</v>
      </c>
      <c r="HP85" s="44">
        <v>32061.921999999999</v>
      </c>
      <c r="HQ85" s="44">
        <v>5783</v>
      </c>
      <c r="HR85" s="44">
        <v>6747</v>
      </c>
      <c r="HS85" s="44">
        <v>31187.599999999999</v>
      </c>
      <c r="HT85" s="44">
        <v>2114.4899999999998</v>
      </c>
      <c r="HU85" s="44">
        <v>1818.2339999999999</v>
      </c>
      <c r="HV85" s="44">
        <v>870.85</v>
      </c>
      <c r="HW85" s="44">
        <v>65848.41</v>
      </c>
      <c r="HX85" s="44">
        <v>1895.29</v>
      </c>
      <c r="HY85" s="44">
        <v>2210.2800000000002</v>
      </c>
      <c r="HZ85" s="44">
        <v>2271.25</v>
      </c>
      <c r="IA85" s="44">
        <v>2515.11</v>
      </c>
      <c r="IB85" s="44">
        <v>2102.71</v>
      </c>
      <c r="IC85" s="44">
        <v>1146.5</v>
      </c>
      <c r="ID85" s="44">
        <v>1810.4199999999998</v>
      </c>
      <c r="IE85" s="44">
        <v>2696.0126500000001</v>
      </c>
      <c r="IF85" s="44">
        <v>1517.85</v>
      </c>
      <c r="IG85" s="44">
        <v>1020.442</v>
      </c>
      <c r="IH85" s="44">
        <v>980.01599999999996</v>
      </c>
      <c r="II85" s="44">
        <v>657.17</v>
      </c>
      <c r="IJ85" s="44">
        <v>1978.33</v>
      </c>
      <c r="IK85" s="43">
        <v>1726.26</v>
      </c>
      <c r="IL85" s="43">
        <v>1256.32</v>
      </c>
      <c r="IM85" s="43">
        <v>2516.4699999999998</v>
      </c>
      <c r="IN85" s="43">
        <v>1736.4</v>
      </c>
      <c r="IO85" s="43">
        <v>1992.2670000000001</v>
      </c>
      <c r="IP85" s="43">
        <v>1895.614</v>
      </c>
      <c r="IQ85" s="43">
        <v>1729.6489999999999</v>
      </c>
      <c r="IR85" s="45">
        <v>619.25001082999995</v>
      </c>
      <c r="IS85" s="45">
        <v>1228.7342000000001</v>
      </c>
      <c r="IT85" s="45">
        <v>2415.5036999999998</v>
      </c>
      <c r="IU85" s="45">
        <v>2656.85</v>
      </c>
      <c r="IV85" s="45">
        <v>1631.18</v>
      </c>
      <c r="IW85" s="45">
        <v>1106.32</v>
      </c>
      <c r="IX85" s="45">
        <v>1387.54</v>
      </c>
      <c r="IY85" s="45">
        <v>1488.8416000000002</v>
      </c>
      <c r="IZ85" s="45">
        <v>959.404</v>
      </c>
      <c r="JA85" s="45">
        <v>1847.47</v>
      </c>
      <c r="JB85" s="45">
        <v>2183.06</v>
      </c>
      <c r="JC85" s="45">
        <v>1639.97</v>
      </c>
      <c r="JD85" s="45">
        <v>3670.83</v>
      </c>
      <c r="JE85" s="45">
        <v>1848.24</v>
      </c>
      <c r="JF85" s="45">
        <v>787.53</v>
      </c>
      <c r="JG85" s="45">
        <v>933.43</v>
      </c>
      <c r="JH85" s="45">
        <v>2156.8200000000002</v>
      </c>
      <c r="JI85" s="45">
        <v>4059.2845000000002</v>
      </c>
      <c r="JJ85" s="45">
        <v>5041.7</v>
      </c>
      <c r="JK85" s="45">
        <v>4981.1499999999996</v>
      </c>
      <c r="JL85" s="45">
        <v>5583.53</v>
      </c>
      <c r="JM85" s="45">
        <v>2601.2800000000002</v>
      </c>
      <c r="JN85" s="45">
        <v>1248.3399999999999</v>
      </c>
      <c r="JO85" s="45">
        <v>2128.9499999999998</v>
      </c>
      <c r="JP85" s="45">
        <v>646</v>
      </c>
      <c r="JQ85" s="45">
        <v>402</v>
      </c>
      <c r="JR85" s="45">
        <v>394.94</v>
      </c>
      <c r="JS85" s="45">
        <v>548.15</v>
      </c>
      <c r="JT85" s="45">
        <v>996</v>
      </c>
      <c r="JU85" s="45">
        <v>1701.914</v>
      </c>
      <c r="JV85" s="45">
        <v>6821.11</v>
      </c>
      <c r="JW85" s="45">
        <v>5712.9989999999998</v>
      </c>
      <c r="JX85" s="45">
        <v>1354.4259999999999</v>
      </c>
      <c r="JY85" s="45">
        <v>2031.3510000000001</v>
      </c>
      <c r="JZ85" s="45">
        <v>2154.7150000000001</v>
      </c>
      <c r="KA85" s="45">
        <v>1267.845</v>
      </c>
      <c r="KB85" s="45">
        <v>824.25</v>
      </c>
      <c r="KC85" s="45">
        <v>622.59199999999998</v>
      </c>
      <c r="KD85" s="45">
        <v>756.76599999999996</v>
      </c>
      <c r="KE85" s="45">
        <v>1038.0309999999999</v>
      </c>
      <c r="KF85" s="45">
        <v>1316.046</v>
      </c>
      <c r="KG85" s="45">
        <v>4372.0820000000003</v>
      </c>
      <c r="KH85" s="45">
        <v>5727.38</v>
      </c>
      <c r="KI85" s="45">
        <v>7767.0159999999996</v>
      </c>
      <c r="KJ85" s="45">
        <v>4850.4070000000002</v>
      </c>
      <c r="KK85" s="45">
        <v>9107.8539999999994</v>
      </c>
      <c r="KL85" s="45">
        <v>1923.5309999999999</v>
      </c>
      <c r="KM85" s="45">
        <v>1456.4380000000001</v>
      </c>
      <c r="KN85" s="45">
        <v>1251.0519999999999</v>
      </c>
      <c r="KO85" s="45">
        <v>1429.925</v>
      </c>
      <c r="KP85" s="45">
        <v>1225.8399999999999</v>
      </c>
      <c r="KQ85" s="45">
        <v>1372.2429999999999</v>
      </c>
      <c r="KR85" s="45">
        <v>2410.4965000000002</v>
      </c>
      <c r="KS85" s="45">
        <v>7824.0709999999999</v>
      </c>
      <c r="KT85" s="45">
        <v>4055.2</v>
      </c>
      <c r="KU85" s="45">
        <v>5665.4049999999997</v>
      </c>
      <c r="KV85" s="45">
        <v>2029.587</v>
      </c>
      <c r="KW85" s="45">
        <v>162.25899999999999</v>
      </c>
      <c r="KX85" s="45">
        <v>224.15</v>
      </c>
      <c r="KY85" s="45">
        <v>556.34100000000001</v>
      </c>
      <c r="KZ85" s="45">
        <v>555.32000000000005</v>
      </c>
      <c r="LA85" s="45">
        <v>1213.777</v>
      </c>
      <c r="LB85" s="45">
        <v>236.38800000000001</v>
      </c>
      <c r="LC85" s="45">
        <v>372.28500000000003</v>
      </c>
      <c r="LD85" s="45">
        <v>1629.1869999999999</v>
      </c>
      <c r="LE85" s="45">
        <v>3720.1179999999999</v>
      </c>
      <c r="LF85" s="45">
        <v>3716.1390000000001</v>
      </c>
      <c r="LG85" s="45">
        <v>2549.8580000000002</v>
      </c>
      <c r="LH85" s="45">
        <v>3064.962</v>
      </c>
      <c r="LI85" s="45">
        <v>736.65</v>
      </c>
      <c r="LJ85" s="45">
        <v>1218.769</v>
      </c>
      <c r="LK85" s="45">
        <v>1807.184</v>
      </c>
      <c r="LL85" s="45">
        <v>464.30099999999999</v>
      </c>
      <c r="LM85" s="45">
        <v>324.34500000000003</v>
      </c>
      <c r="LN85" s="45">
        <v>456.63</v>
      </c>
      <c r="LO85" s="45">
        <v>682.97789999999998</v>
      </c>
      <c r="LP85" s="45">
        <v>5199.0325000000003</v>
      </c>
      <c r="LQ85" s="45">
        <v>8063.5845500000032</v>
      </c>
      <c r="LR85" s="45">
        <v>6660.3108000000011</v>
      </c>
      <c r="LS85" s="45">
        <v>2853.2782199999997</v>
      </c>
      <c r="LT85" s="45">
        <v>1448.7957000000001</v>
      </c>
      <c r="LU85" s="43"/>
      <c r="LV85" s="43"/>
      <c r="LW85" s="43"/>
      <c r="LX85" s="43"/>
    </row>
    <row r="86" spans="1:336" s="29" customFormat="1" x14ac:dyDescent="0.3">
      <c r="A86" s="33" t="s">
        <v>91</v>
      </c>
      <c r="B86" s="46" t="s">
        <v>89</v>
      </c>
      <c r="C86" s="43">
        <v>2300</v>
      </c>
      <c r="D86" s="44">
        <v>700</v>
      </c>
      <c r="E86" s="44">
        <v>1029.8499999999999</v>
      </c>
      <c r="F86" s="44">
        <v>1539.4</v>
      </c>
      <c r="G86" s="44">
        <v>1485</v>
      </c>
      <c r="H86" s="44">
        <v>1748</v>
      </c>
      <c r="I86" s="44">
        <v>972.9</v>
      </c>
      <c r="J86" s="44">
        <v>940.8</v>
      </c>
      <c r="K86" s="44">
        <v>1021.4</v>
      </c>
      <c r="L86" s="44">
        <v>1781</v>
      </c>
      <c r="M86" s="44">
        <v>107.2</v>
      </c>
      <c r="N86" s="44">
        <v>179</v>
      </c>
      <c r="O86" s="44">
        <v>831.9</v>
      </c>
      <c r="P86" s="44">
        <v>719.4</v>
      </c>
      <c r="Q86" s="44">
        <v>1210</v>
      </c>
      <c r="R86" s="44">
        <v>736.98</v>
      </c>
      <c r="S86" s="44">
        <v>298.52</v>
      </c>
      <c r="T86" s="44">
        <v>1909.97</v>
      </c>
      <c r="U86" s="44">
        <v>2272.6999999999998</v>
      </c>
      <c r="V86" s="44">
        <v>5259</v>
      </c>
      <c r="W86" s="44">
        <v>6241.2</v>
      </c>
      <c r="X86" s="44">
        <v>4396.3</v>
      </c>
      <c r="Y86" s="44">
        <v>2446.9</v>
      </c>
      <c r="Z86" s="44">
        <v>2364.5</v>
      </c>
      <c r="AA86" s="44">
        <v>4802.7</v>
      </c>
      <c r="AB86" s="44">
        <v>6102.8</v>
      </c>
      <c r="AC86" s="44">
        <v>3608.7</v>
      </c>
      <c r="AD86" s="44">
        <v>4460.38</v>
      </c>
      <c r="AE86" s="44">
        <v>1776.97</v>
      </c>
      <c r="AF86" s="44">
        <v>3501.16</v>
      </c>
      <c r="AG86" s="44">
        <v>4418.7299999999996</v>
      </c>
      <c r="AH86" s="44">
        <v>4559.33</v>
      </c>
      <c r="AI86" s="44">
        <v>2619.17</v>
      </c>
      <c r="AJ86" s="44">
        <v>435.48</v>
      </c>
      <c r="AK86" s="44">
        <v>355.77</v>
      </c>
      <c r="AL86" s="44">
        <v>732</v>
      </c>
      <c r="AM86" s="44">
        <v>793.61</v>
      </c>
      <c r="AN86" s="44">
        <v>1869.91</v>
      </c>
      <c r="AO86" s="44">
        <v>2265.65</v>
      </c>
      <c r="AP86" s="44">
        <v>6929.69</v>
      </c>
      <c r="AQ86" s="44">
        <v>2923.49</v>
      </c>
      <c r="AR86" s="44">
        <v>9274.69</v>
      </c>
      <c r="AS86" s="44">
        <v>1883.61</v>
      </c>
      <c r="AT86" s="44">
        <v>1338.98</v>
      </c>
      <c r="AU86" s="44">
        <v>2459.66</v>
      </c>
      <c r="AV86" s="44">
        <v>631</v>
      </c>
      <c r="AW86" s="44">
        <v>581</v>
      </c>
      <c r="AX86" s="44" t="s">
        <v>86</v>
      </c>
      <c r="AY86" s="44">
        <v>453.38</v>
      </c>
      <c r="AZ86" s="44">
        <v>3009.26</v>
      </c>
      <c r="BA86" s="44">
        <v>2973.25</v>
      </c>
      <c r="BB86" s="44">
        <v>195.04</v>
      </c>
      <c r="BC86" s="44">
        <v>789.71</v>
      </c>
      <c r="BD86" s="44">
        <v>1841.68</v>
      </c>
      <c r="BE86" s="44">
        <v>38476.800000000003</v>
      </c>
      <c r="BF86" s="44">
        <v>1260.18</v>
      </c>
      <c r="BG86" s="44">
        <v>2453.23</v>
      </c>
      <c r="BH86" s="44">
        <v>3390.66</v>
      </c>
      <c r="BI86" s="44">
        <v>1357.08</v>
      </c>
      <c r="BJ86" s="44">
        <v>2651.56</v>
      </c>
      <c r="BK86" s="44">
        <v>4.8</v>
      </c>
      <c r="BL86" s="44">
        <v>411.37</v>
      </c>
      <c r="BM86" s="44">
        <v>313.7</v>
      </c>
      <c r="BN86" s="44">
        <v>218.62</v>
      </c>
      <c r="BO86" s="44">
        <v>346.26</v>
      </c>
      <c r="BP86" s="44">
        <v>1738.76</v>
      </c>
      <c r="BQ86" s="44">
        <v>3250.89</v>
      </c>
      <c r="BR86" s="44">
        <v>3538.8</v>
      </c>
      <c r="BS86" s="44">
        <v>2442.1799999999998</v>
      </c>
      <c r="BT86" s="44">
        <v>717</v>
      </c>
      <c r="BU86" s="44">
        <v>542.54</v>
      </c>
      <c r="BV86" s="44">
        <v>1297.03</v>
      </c>
      <c r="BW86" s="44">
        <v>1078.04</v>
      </c>
      <c r="BX86" s="44">
        <v>738.13</v>
      </c>
      <c r="BY86" s="44">
        <v>324.99</v>
      </c>
      <c r="BZ86" s="44">
        <v>335.12</v>
      </c>
      <c r="CA86" s="44">
        <v>435.21600000000001</v>
      </c>
      <c r="CB86" s="44">
        <v>151</v>
      </c>
      <c r="CC86" s="44">
        <v>20.18</v>
      </c>
      <c r="CD86" s="44">
        <v>110.64</v>
      </c>
      <c r="CE86" s="44">
        <v>228.95</v>
      </c>
      <c r="CF86" s="44">
        <v>5.31</v>
      </c>
      <c r="CG86" s="44">
        <v>1008.55</v>
      </c>
      <c r="CH86" s="44">
        <v>58.36</v>
      </c>
      <c r="CI86" s="44">
        <v>331.57</v>
      </c>
      <c r="CJ86" s="44">
        <v>36.83</v>
      </c>
      <c r="CK86" s="44">
        <v>908.49</v>
      </c>
      <c r="CL86" s="44">
        <v>830.24</v>
      </c>
      <c r="CM86" s="44">
        <v>365.28</v>
      </c>
      <c r="CN86" s="44">
        <v>1031.83</v>
      </c>
      <c r="CO86" s="44">
        <v>1059.7</v>
      </c>
      <c r="CP86" s="44">
        <v>929.03</v>
      </c>
      <c r="CQ86" s="44">
        <v>1227.0899999999999</v>
      </c>
      <c r="CR86" s="44">
        <v>47.37</v>
      </c>
      <c r="CS86" s="44">
        <v>440.7</v>
      </c>
      <c r="CT86" s="44">
        <v>123.66</v>
      </c>
      <c r="CU86" s="44">
        <v>410.15</v>
      </c>
      <c r="CV86" s="44">
        <v>32.42</v>
      </c>
      <c r="CW86" s="44">
        <v>47.79</v>
      </c>
      <c r="CX86" s="44">
        <v>17.559999999999999</v>
      </c>
      <c r="CY86" s="44">
        <v>3760</v>
      </c>
      <c r="CZ86" s="44">
        <v>253.95</v>
      </c>
      <c r="DA86" s="44">
        <v>637.97</v>
      </c>
      <c r="DB86" s="44">
        <v>186.56</v>
      </c>
      <c r="DC86" s="44">
        <v>722.85</v>
      </c>
      <c r="DD86" s="44">
        <v>199.5</v>
      </c>
      <c r="DE86" s="44">
        <v>1697.9</v>
      </c>
      <c r="DF86" s="44">
        <v>4201.5200000000004</v>
      </c>
      <c r="DG86" s="44">
        <v>2939.6</v>
      </c>
      <c r="DH86" s="44">
        <v>1688.87</v>
      </c>
      <c r="DI86" s="44">
        <v>1185.1199999999999</v>
      </c>
      <c r="DJ86" s="44">
        <v>1226.3</v>
      </c>
      <c r="DK86" s="44">
        <v>1470.1</v>
      </c>
      <c r="DL86" s="44">
        <v>1057.1400000000001</v>
      </c>
      <c r="DM86" s="44">
        <v>2780.55</v>
      </c>
      <c r="DN86" s="44">
        <v>524.07000000000005</v>
      </c>
      <c r="DO86" s="44">
        <v>352.14</v>
      </c>
      <c r="DP86" s="44">
        <v>321.24</v>
      </c>
      <c r="DQ86" s="44">
        <v>395.3</v>
      </c>
      <c r="DR86" s="44">
        <v>483.69</v>
      </c>
      <c r="DS86" s="44">
        <v>163.05000000000001</v>
      </c>
      <c r="DT86" s="44">
        <v>126.43</v>
      </c>
      <c r="DU86" s="44">
        <v>740.11</v>
      </c>
      <c r="DV86" s="44">
        <v>106.94</v>
      </c>
      <c r="DW86" s="44">
        <v>265.02</v>
      </c>
      <c r="DX86" s="44">
        <v>575.25</v>
      </c>
      <c r="DY86" s="44">
        <v>483.76</v>
      </c>
      <c r="DZ86" s="44">
        <v>424.49</v>
      </c>
      <c r="EA86" s="44">
        <v>41.8</v>
      </c>
      <c r="EB86" s="44">
        <v>321.89</v>
      </c>
      <c r="EC86" s="44">
        <v>216</v>
      </c>
      <c r="ED86" s="44">
        <v>641.23</v>
      </c>
      <c r="EE86" s="44">
        <v>175.47</v>
      </c>
      <c r="EF86" s="44">
        <v>1663.16</v>
      </c>
      <c r="EG86" s="44">
        <v>1077.28</v>
      </c>
      <c r="EH86" s="44">
        <v>845.91</v>
      </c>
      <c r="EI86" s="44">
        <v>1156.49</v>
      </c>
      <c r="EJ86" s="44">
        <v>1915.34</v>
      </c>
      <c r="EK86" s="44">
        <v>1646.67</v>
      </c>
      <c r="EL86" s="44">
        <v>539.41999999999996</v>
      </c>
      <c r="EM86" s="44">
        <v>362.62</v>
      </c>
      <c r="EN86" s="44">
        <v>543.95000000000005</v>
      </c>
      <c r="EO86" s="44">
        <v>437.27</v>
      </c>
      <c r="EP86" s="44">
        <v>1165.5899999999999</v>
      </c>
      <c r="EQ86" s="44">
        <v>2390</v>
      </c>
      <c r="ER86" s="44">
        <v>1197.22</v>
      </c>
      <c r="ES86" s="44">
        <v>326.14</v>
      </c>
      <c r="ET86" s="44">
        <v>787.82</v>
      </c>
      <c r="EU86" s="44">
        <v>1704.58</v>
      </c>
      <c r="EV86" s="44">
        <v>382.29</v>
      </c>
      <c r="EW86" s="44">
        <v>1065.3499999999999</v>
      </c>
      <c r="EX86" s="44">
        <v>2377.17</v>
      </c>
      <c r="EY86" s="44">
        <v>1599.43</v>
      </c>
      <c r="EZ86" s="44">
        <v>1746.2</v>
      </c>
      <c r="FA86" s="44">
        <v>1014.95</v>
      </c>
      <c r="FB86" s="44">
        <v>1778.4</v>
      </c>
      <c r="FC86" s="44">
        <v>965.98</v>
      </c>
      <c r="FD86" s="44">
        <v>1021.11</v>
      </c>
      <c r="FE86" s="44">
        <v>1598.53</v>
      </c>
      <c r="FF86" s="44">
        <v>606.21</v>
      </c>
      <c r="FG86" s="44">
        <v>180.95</v>
      </c>
      <c r="FH86" s="44">
        <v>941.25</v>
      </c>
      <c r="FI86" s="44">
        <v>2318.69</v>
      </c>
      <c r="FJ86" s="44">
        <v>957.3</v>
      </c>
      <c r="FK86" s="44">
        <v>339.1</v>
      </c>
      <c r="FL86" s="44">
        <v>975.37</v>
      </c>
      <c r="FM86" s="44">
        <v>2311.67</v>
      </c>
      <c r="FN86" s="44">
        <v>1954.41</v>
      </c>
      <c r="FO86" s="44">
        <v>3393</v>
      </c>
      <c r="FP86" s="44">
        <v>2862.6</v>
      </c>
      <c r="FQ86" s="44">
        <v>1800.23</v>
      </c>
      <c r="FR86" s="44">
        <v>1612.26</v>
      </c>
      <c r="FS86" s="44">
        <v>2900.96</v>
      </c>
      <c r="FT86" s="44">
        <v>2515.29</v>
      </c>
      <c r="FU86" s="44">
        <v>2567.2800000000002</v>
      </c>
      <c r="FV86" s="44">
        <v>1615.55</v>
      </c>
      <c r="FW86" s="44">
        <v>2634.31</v>
      </c>
      <c r="FX86" s="44">
        <v>2506.67</v>
      </c>
      <c r="FY86" s="44">
        <v>1182.55</v>
      </c>
      <c r="FZ86" s="44">
        <v>5108.01</v>
      </c>
      <c r="GA86" s="44">
        <v>1313.14</v>
      </c>
      <c r="GB86" s="44">
        <v>2437.35</v>
      </c>
      <c r="GC86" s="44">
        <v>2282.9</v>
      </c>
      <c r="GD86" s="44">
        <v>482.5</v>
      </c>
      <c r="GE86" s="44">
        <v>1925.8</v>
      </c>
      <c r="GF86" s="44">
        <v>1418.6</v>
      </c>
      <c r="GG86" s="44">
        <v>2045.3</v>
      </c>
      <c r="GH86" s="44">
        <v>752.65</v>
      </c>
      <c r="GI86" s="44">
        <v>741.76</v>
      </c>
      <c r="GJ86" s="44">
        <v>357.4</v>
      </c>
      <c r="GK86" s="44">
        <v>683.56</v>
      </c>
      <c r="GL86" s="44">
        <v>1097.92</v>
      </c>
      <c r="GM86" s="44">
        <v>572.07000000000005</v>
      </c>
      <c r="GN86" s="44">
        <v>753.84</v>
      </c>
      <c r="GO86" s="44">
        <v>324.08999999999997</v>
      </c>
      <c r="GP86" s="44">
        <v>837.09</v>
      </c>
      <c r="GQ86" s="44">
        <v>5972.89</v>
      </c>
      <c r="GR86" s="44">
        <v>1229.04</v>
      </c>
      <c r="GS86" s="44">
        <v>1344.1</v>
      </c>
      <c r="GT86" s="44">
        <v>1076.08</v>
      </c>
      <c r="GU86" s="44">
        <v>1751.95</v>
      </c>
      <c r="GV86" s="44">
        <v>698.27</v>
      </c>
      <c r="GW86" s="44">
        <v>3011.68</v>
      </c>
      <c r="GX86" s="44">
        <v>3195.99</v>
      </c>
      <c r="GY86" s="44">
        <v>3117.25</v>
      </c>
      <c r="GZ86" s="44">
        <v>2406.6</v>
      </c>
      <c r="HA86" s="44">
        <v>877.3</v>
      </c>
      <c r="HB86" s="44">
        <v>4272.6000000000004</v>
      </c>
      <c r="HC86" s="44">
        <v>5023.75</v>
      </c>
      <c r="HD86" s="44">
        <v>4749.3999999999996</v>
      </c>
      <c r="HE86" s="44">
        <v>4295.01</v>
      </c>
      <c r="HF86" s="44">
        <v>2609.75</v>
      </c>
      <c r="HG86" s="44">
        <v>2806.59</v>
      </c>
      <c r="HH86" s="44">
        <v>4248.26</v>
      </c>
      <c r="HI86" s="44">
        <v>3102.87</v>
      </c>
      <c r="HJ86" s="44">
        <v>2955.35</v>
      </c>
      <c r="HK86" s="44">
        <v>4561.2700000000004</v>
      </c>
      <c r="HL86" s="44">
        <v>1601.73</v>
      </c>
      <c r="HM86" s="44">
        <v>1699.73</v>
      </c>
      <c r="HN86" s="44">
        <v>2541.0300000000002</v>
      </c>
      <c r="HO86" s="44">
        <v>2382.2399999999998</v>
      </c>
      <c r="HP86" s="44">
        <v>2496.17</v>
      </c>
      <c r="HQ86" s="44">
        <v>1068</v>
      </c>
      <c r="HR86" s="44">
        <v>2789</v>
      </c>
      <c r="HS86" s="44">
        <v>318.58</v>
      </c>
      <c r="HT86" s="44">
        <v>1805.18</v>
      </c>
      <c r="HU86" s="44">
        <v>3809</v>
      </c>
      <c r="HV86" s="44">
        <v>1978.98</v>
      </c>
      <c r="HW86" s="44">
        <v>586.11</v>
      </c>
      <c r="HX86" s="44">
        <v>206.15</v>
      </c>
      <c r="HY86" s="44">
        <v>606.4</v>
      </c>
      <c r="HZ86" s="44">
        <v>2712.78</v>
      </c>
      <c r="IA86" s="44">
        <v>4534.8899999999994</v>
      </c>
      <c r="IB86" s="44">
        <v>2894.27</v>
      </c>
      <c r="IC86" s="44">
        <v>2261.91</v>
      </c>
      <c r="ID86" s="44">
        <v>2548.63</v>
      </c>
      <c r="IE86" s="44">
        <v>818.64800000000002</v>
      </c>
      <c r="IF86" s="44">
        <v>1021.75</v>
      </c>
      <c r="IG86" s="44">
        <v>1484.097</v>
      </c>
      <c r="IH86" s="44">
        <v>4876.68</v>
      </c>
      <c r="II86" s="44">
        <v>3603.45</v>
      </c>
      <c r="IJ86" s="44">
        <v>4589.3100000000004</v>
      </c>
      <c r="IK86" s="43">
        <v>3962.62</v>
      </c>
      <c r="IL86" s="43">
        <v>4727.8500000000004</v>
      </c>
      <c r="IM86" s="43">
        <v>1637.06</v>
      </c>
      <c r="IN86" s="43">
        <v>1636.53</v>
      </c>
      <c r="IO86" s="43">
        <v>543.29499999999996</v>
      </c>
      <c r="IP86" s="43">
        <v>1328.019</v>
      </c>
      <c r="IQ86" s="43">
        <v>1122.095</v>
      </c>
      <c r="IR86" s="43">
        <v>1123.33</v>
      </c>
      <c r="IS86" s="45">
        <v>419.92099999999999</v>
      </c>
      <c r="IT86" s="45">
        <v>1114.6400000000001</v>
      </c>
      <c r="IU86" s="45">
        <v>8230.3799999999992</v>
      </c>
      <c r="IV86" s="45">
        <v>1973.08</v>
      </c>
      <c r="IW86" s="45">
        <v>4196.78</v>
      </c>
      <c r="IX86" s="45">
        <v>2239.1999999999998</v>
      </c>
      <c r="IY86" s="45">
        <v>4632.5</v>
      </c>
      <c r="IZ86" s="45">
        <v>2386.21</v>
      </c>
      <c r="JA86" s="45">
        <v>2242.5100000000002</v>
      </c>
      <c r="JB86" s="45">
        <v>2393.58</v>
      </c>
      <c r="JC86" s="45">
        <v>1961.58</v>
      </c>
      <c r="JD86" s="45">
        <v>790.5</v>
      </c>
      <c r="JE86" s="45">
        <v>711.6</v>
      </c>
      <c r="JF86" s="45">
        <v>4271.01</v>
      </c>
      <c r="JG86" s="45">
        <v>4369.74</v>
      </c>
      <c r="JH86" s="45">
        <v>1285.9100000000001</v>
      </c>
      <c r="JI86" s="45">
        <v>854.67</v>
      </c>
      <c r="JJ86" s="45">
        <v>1772.91</v>
      </c>
      <c r="JK86" s="45">
        <v>7785.42</v>
      </c>
      <c r="JL86" s="45">
        <v>4176.1000000000004</v>
      </c>
      <c r="JM86" s="45">
        <v>2582.8200000000002</v>
      </c>
      <c r="JN86" s="45">
        <v>1288.45</v>
      </c>
      <c r="JO86" s="45">
        <v>4078.76</v>
      </c>
      <c r="JP86" s="45">
        <v>1420.06</v>
      </c>
      <c r="JQ86" s="45">
        <v>1306.3499999999999</v>
      </c>
      <c r="JR86" s="45">
        <v>4358.24</v>
      </c>
      <c r="JS86" s="45">
        <v>6546.0550000000003</v>
      </c>
      <c r="JT86" s="45">
        <v>5463.7560000000003</v>
      </c>
      <c r="JU86" s="45">
        <v>4828.6899999999996</v>
      </c>
      <c r="JV86" s="45">
        <v>2578.86</v>
      </c>
      <c r="JW86" s="45">
        <v>2880.7429999999999</v>
      </c>
      <c r="JX86" s="45">
        <v>2814.1790000000001</v>
      </c>
      <c r="JY86" s="45">
        <v>2741.317</v>
      </c>
      <c r="JZ86" s="45">
        <v>1494.944</v>
      </c>
      <c r="KA86" s="45">
        <v>15196.714</v>
      </c>
      <c r="KB86" s="45">
        <v>8979.5049999999992</v>
      </c>
      <c r="KC86" s="45">
        <v>10481.947999999999</v>
      </c>
      <c r="KD86" s="45">
        <v>28668.145</v>
      </c>
      <c r="KE86" s="45">
        <v>11983.498000000001</v>
      </c>
      <c r="KF86" s="45">
        <v>21803.190000000002</v>
      </c>
      <c r="KG86" s="45">
        <v>11671.66</v>
      </c>
      <c r="KH86" s="45">
        <v>11481.154999999999</v>
      </c>
      <c r="KI86" s="45">
        <v>14879.125</v>
      </c>
      <c r="KJ86" s="45">
        <v>12020.695</v>
      </c>
      <c r="KK86" s="45">
        <v>6051.14</v>
      </c>
      <c r="KL86" s="45">
        <v>16424.239000000001</v>
      </c>
      <c r="KM86" s="45">
        <v>5269.7190000000001</v>
      </c>
      <c r="KN86" s="45">
        <v>5670.0519999999997</v>
      </c>
      <c r="KO86" s="45">
        <v>6839.25</v>
      </c>
      <c r="KP86" s="45">
        <v>20831.355</v>
      </c>
      <c r="KQ86" s="45">
        <v>7975.6239999999998</v>
      </c>
      <c r="KR86" s="45">
        <v>7072.6819999999998</v>
      </c>
      <c r="KS86" s="45">
        <v>6077.8530000000001</v>
      </c>
      <c r="KT86" s="45">
        <v>10741.393</v>
      </c>
      <c r="KU86" s="45">
        <v>12695.355</v>
      </c>
      <c r="KV86" s="45">
        <v>8328.1190000000006</v>
      </c>
      <c r="KW86" s="45">
        <v>2597.7130000000002</v>
      </c>
      <c r="KX86" s="45">
        <v>4412.2920000000004</v>
      </c>
      <c r="KY86" s="45">
        <v>3131.18</v>
      </c>
      <c r="KZ86" s="45">
        <v>1789.867</v>
      </c>
      <c r="LA86" s="45">
        <v>57584.016000000003</v>
      </c>
      <c r="LB86" s="45">
        <v>35994.008000000002</v>
      </c>
      <c r="LC86" s="45">
        <v>31517.387999999999</v>
      </c>
      <c r="LD86" s="45">
        <v>25813.685000000001</v>
      </c>
      <c r="LE86" s="45">
        <v>23172.647000000001</v>
      </c>
      <c r="LF86" s="45">
        <v>10994.326999999999</v>
      </c>
      <c r="LG86" s="45">
        <v>40629.527000000002</v>
      </c>
      <c r="LH86" s="45">
        <v>43046.74</v>
      </c>
      <c r="LI86" s="45">
        <v>49231.754999999997</v>
      </c>
      <c r="LJ86" s="45">
        <v>11587.01</v>
      </c>
      <c r="LK86" s="45">
        <v>19806.237000000001</v>
      </c>
      <c r="LL86" s="45">
        <v>1038.9449999999999</v>
      </c>
      <c r="LM86" s="45">
        <v>47002.01</v>
      </c>
      <c r="LN86" s="45">
        <v>35553.881000000001</v>
      </c>
      <c r="LO86" s="45">
        <v>25878.884999999998</v>
      </c>
      <c r="LP86" s="45">
        <v>9964.5859999999993</v>
      </c>
      <c r="LQ86" s="45">
        <v>2512.9450000000002</v>
      </c>
      <c r="LR86" s="45">
        <v>4257.0140000000001</v>
      </c>
      <c r="LS86" s="45">
        <v>4276.3500000000004</v>
      </c>
      <c r="LT86" s="45">
        <v>7707.4</v>
      </c>
      <c r="LU86" s="43"/>
      <c r="LV86" s="43"/>
      <c r="LW86" s="43"/>
      <c r="LX86" s="43"/>
    </row>
    <row r="87" spans="1:336" s="29" customFormat="1" x14ac:dyDescent="0.3">
      <c r="A87" s="33" t="s">
        <v>11</v>
      </c>
      <c r="B87" s="46" t="s">
        <v>89</v>
      </c>
      <c r="C87" s="43">
        <v>592</v>
      </c>
      <c r="D87" s="44">
        <v>423.6</v>
      </c>
      <c r="E87" s="44">
        <v>911.39</v>
      </c>
      <c r="F87" s="44">
        <v>575.4</v>
      </c>
      <c r="G87" s="44">
        <v>365.9</v>
      </c>
      <c r="H87" s="44">
        <v>673.5</v>
      </c>
      <c r="I87" s="44">
        <v>1344.13</v>
      </c>
      <c r="J87" s="44">
        <v>1731.1</v>
      </c>
      <c r="K87" s="44">
        <v>2296.1999999999998</v>
      </c>
      <c r="L87" s="44">
        <v>3438.1</v>
      </c>
      <c r="M87" s="44">
        <v>1696.8</v>
      </c>
      <c r="N87" s="44">
        <v>1212.5999999999999</v>
      </c>
      <c r="O87" s="44">
        <v>310.10000000000002</v>
      </c>
      <c r="P87" s="44">
        <v>277.5</v>
      </c>
      <c r="Q87" s="44">
        <v>984.2</v>
      </c>
      <c r="R87" s="44">
        <v>762.53</v>
      </c>
      <c r="S87" s="44">
        <v>88.68</v>
      </c>
      <c r="T87" s="44">
        <v>90.91</v>
      </c>
      <c r="U87" s="44">
        <v>507.7</v>
      </c>
      <c r="V87" s="44">
        <v>1334.1</v>
      </c>
      <c r="W87" s="44">
        <v>2439.4</v>
      </c>
      <c r="X87" s="44">
        <v>1544</v>
      </c>
      <c r="Y87" s="44">
        <v>1556.6</v>
      </c>
      <c r="Z87" s="44">
        <v>315</v>
      </c>
      <c r="AA87" s="44">
        <v>541.20000000000005</v>
      </c>
      <c r="AB87" s="44">
        <v>328.4</v>
      </c>
      <c r="AC87" s="44">
        <v>355</v>
      </c>
      <c r="AD87" s="44">
        <v>183.65</v>
      </c>
      <c r="AE87" s="44">
        <v>80</v>
      </c>
      <c r="AF87" s="44">
        <v>30</v>
      </c>
      <c r="AG87" s="44">
        <v>662.92</v>
      </c>
      <c r="AH87" s="44">
        <v>509.85</v>
      </c>
      <c r="AI87" s="44">
        <v>773.05</v>
      </c>
      <c r="AJ87" s="44">
        <v>712.03</v>
      </c>
      <c r="AK87" s="44">
        <v>217.38</v>
      </c>
      <c r="AL87" s="44">
        <v>245.36</v>
      </c>
      <c r="AM87" s="44" t="s">
        <v>86</v>
      </c>
      <c r="AN87" s="44" t="s">
        <v>86</v>
      </c>
      <c r="AO87" s="44" t="s">
        <v>86</v>
      </c>
      <c r="AP87" s="44">
        <v>130</v>
      </c>
      <c r="AQ87" s="44">
        <v>218.24</v>
      </c>
      <c r="AR87" s="44">
        <v>38</v>
      </c>
      <c r="AS87" s="44">
        <v>1482.62</v>
      </c>
      <c r="AT87" s="44">
        <v>2028.13</v>
      </c>
      <c r="AU87" s="44">
        <v>3198.12</v>
      </c>
      <c r="AV87" s="44">
        <v>1490.44</v>
      </c>
      <c r="AW87" s="44">
        <v>988.05</v>
      </c>
      <c r="AX87" s="44">
        <v>141.76</v>
      </c>
      <c r="AY87" s="44">
        <v>275</v>
      </c>
      <c r="AZ87" s="44">
        <v>171.3</v>
      </c>
      <c r="BA87" s="44">
        <v>471.48</v>
      </c>
      <c r="BB87" s="44">
        <v>45.6</v>
      </c>
      <c r="BC87" s="44">
        <v>102</v>
      </c>
      <c r="BD87" s="44">
        <v>157.63</v>
      </c>
      <c r="BE87" s="44">
        <v>1691.34</v>
      </c>
      <c r="BF87" s="44">
        <v>3361.75</v>
      </c>
      <c r="BG87" s="44">
        <v>3078.26</v>
      </c>
      <c r="BH87" s="44">
        <v>3087.29</v>
      </c>
      <c r="BI87" s="44">
        <v>636.24</v>
      </c>
      <c r="BJ87" s="44">
        <v>1740.58</v>
      </c>
      <c r="BK87" s="44">
        <v>103.52</v>
      </c>
      <c r="BL87" s="44">
        <v>136.22</v>
      </c>
      <c r="BM87" s="44">
        <v>314.33999999999997</v>
      </c>
      <c r="BN87" s="44">
        <v>90.91</v>
      </c>
      <c r="BO87" s="44">
        <v>18.239999999999998</v>
      </c>
      <c r="BP87" s="44">
        <v>18.239999999999998</v>
      </c>
      <c r="BQ87" s="44" t="s">
        <v>86</v>
      </c>
      <c r="BR87" s="44">
        <v>34.08</v>
      </c>
      <c r="BS87" s="44">
        <v>267.93</v>
      </c>
      <c r="BT87" s="44">
        <v>336.38</v>
      </c>
      <c r="BU87" s="44">
        <v>270.01</v>
      </c>
      <c r="BV87" s="44">
        <v>71.5</v>
      </c>
      <c r="BW87" s="44">
        <v>50.39</v>
      </c>
      <c r="BX87" s="44" t="s">
        <v>86</v>
      </c>
      <c r="BY87" s="44" t="s">
        <v>86</v>
      </c>
      <c r="BZ87" s="44" t="s">
        <v>86</v>
      </c>
      <c r="CA87" s="44" t="s">
        <v>86</v>
      </c>
      <c r="CB87" s="44" t="s">
        <v>86</v>
      </c>
      <c r="CC87" s="44" t="s">
        <v>86</v>
      </c>
      <c r="CD87" s="44" t="s">
        <v>86</v>
      </c>
      <c r="CE87" s="44" t="s">
        <v>86</v>
      </c>
      <c r="CF87" s="44">
        <v>6.5</v>
      </c>
      <c r="CG87" s="44" t="s">
        <v>86</v>
      </c>
      <c r="CH87" s="44">
        <v>5.9</v>
      </c>
      <c r="CI87" s="44" t="s">
        <v>86</v>
      </c>
      <c r="CJ87" s="44" t="s">
        <v>86</v>
      </c>
      <c r="CK87" s="44" t="s">
        <v>86</v>
      </c>
      <c r="CL87" s="44" t="s">
        <v>86</v>
      </c>
      <c r="CM87" s="44" t="s">
        <v>86</v>
      </c>
      <c r="CN87" s="44" t="s">
        <v>86</v>
      </c>
      <c r="CO87" s="44" t="s">
        <v>86</v>
      </c>
      <c r="CP87" s="44">
        <v>178.75</v>
      </c>
      <c r="CQ87" s="44">
        <v>1143</v>
      </c>
      <c r="CR87" s="44">
        <v>532.14</v>
      </c>
      <c r="CS87" s="44">
        <v>124</v>
      </c>
      <c r="CT87" s="44">
        <v>304.8</v>
      </c>
      <c r="CU87" s="44">
        <v>140.30000000000001</v>
      </c>
      <c r="CV87" s="44" t="s">
        <v>86</v>
      </c>
      <c r="CW87" s="44" t="s">
        <v>86</v>
      </c>
      <c r="CX87" s="44" t="s">
        <v>86</v>
      </c>
      <c r="CY87" s="44" t="s">
        <v>86</v>
      </c>
      <c r="CZ87" s="44" t="s">
        <v>86</v>
      </c>
      <c r="DA87" s="44">
        <v>95.7</v>
      </c>
      <c r="DB87" s="44">
        <v>163.12</v>
      </c>
      <c r="DC87" s="44">
        <v>333.84</v>
      </c>
      <c r="DD87" s="44">
        <v>68.25</v>
      </c>
      <c r="DE87" s="44">
        <v>177.04</v>
      </c>
      <c r="DF87" s="44">
        <v>71.61</v>
      </c>
      <c r="DG87" s="44" t="s">
        <v>86</v>
      </c>
      <c r="DH87" s="44">
        <v>15.39</v>
      </c>
      <c r="DI87" s="44">
        <v>17.86</v>
      </c>
      <c r="DJ87" s="44">
        <v>36.1</v>
      </c>
      <c r="DK87" s="44" t="s">
        <v>87</v>
      </c>
      <c r="DL87" s="44" t="s">
        <v>87</v>
      </c>
      <c r="DM87" s="44">
        <v>54.14</v>
      </c>
      <c r="DN87" s="44" t="s">
        <v>87</v>
      </c>
      <c r="DO87" s="44">
        <v>342</v>
      </c>
      <c r="DP87" s="44">
        <v>489.83</v>
      </c>
      <c r="DQ87" s="44">
        <v>237</v>
      </c>
      <c r="DR87" s="44">
        <v>297.97000000000003</v>
      </c>
      <c r="DS87" s="44">
        <v>81.14</v>
      </c>
      <c r="DT87" s="44">
        <v>36</v>
      </c>
      <c r="DU87" s="44" t="s">
        <v>86</v>
      </c>
      <c r="DV87" s="44">
        <v>18</v>
      </c>
      <c r="DW87" s="44">
        <v>36</v>
      </c>
      <c r="DX87" s="44" t="s">
        <v>87</v>
      </c>
      <c r="DY87" s="44">
        <v>54.14</v>
      </c>
      <c r="DZ87" s="44" t="s">
        <v>87</v>
      </c>
      <c r="EA87" s="44" t="s">
        <v>87</v>
      </c>
      <c r="EB87" s="44">
        <v>66.2</v>
      </c>
      <c r="EC87" s="44">
        <v>285.85000000000002</v>
      </c>
      <c r="ED87" s="44">
        <v>459.49</v>
      </c>
      <c r="EE87" s="44">
        <v>177.43</v>
      </c>
      <c r="EF87" s="44">
        <v>18</v>
      </c>
      <c r="EG87" s="44">
        <v>235.62</v>
      </c>
      <c r="EH87" s="44">
        <v>18.07</v>
      </c>
      <c r="EI87" s="44">
        <v>36.14</v>
      </c>
      <c r="EJ87" s="44">
        <v>36.14</v>
      </c>
      <c r="EK87" s="44">
        <v>54.21</v>
      </c>
      <c r="EL87" s="44">
        <v>286.89</v>
      </c>
      <c r="EM87" s="44">
        <v>2195.59</v>
      </c>
      <c r="EN87" s="44">
        <v>600.49</v>
      </c>
      <c r="EO87" s="44">
        <v>1046.08</v>
      </c>
      <c r="EP87" s="44">
        <v>221.94</v>
      </c>
      <c r="EQ87" s="44">
        <v>854.91</v>
      </c>
      <c r="ER87" s="44">
        <v>329.06</v>
      </c>
      <c r="ES87" s="44">
        <v>36.869999999999997</v>
      </c>
      <c r="ET87" s="44"/>
      <c r="EU87" s="44">
        <v>271.52999999999997</v>
      </c>
      <c r="EV87" s="44">
        <v>18.05</v>
      </c>
      <c r="EW87" s="44">
        <v>373.25</v>
      </c>
      <c r="EX87" s="44">
        <v>536.73</v>
      </c>
      <c r="EY87" s="44">
        <v>1305.02</v>
      </c>
      <c r="EZ87" s="44">
        <v>836.32</v>
      </c>
      <c r="FA87" s="44"/>
      <c r="FB87" s="44">
        <v>237.39</v>
      </c>
      <c r="FC87" s="44">
        <v>31.5</v>
      </c>
      <c r="FD87" s="44">
        <v>365.15</v>
      </c>
      <c r="FE87" s="44" t="s">
        <v>87</v>
      </c>
      <c r="FF87" s="44" t="s">
        <v>87</v>
      </c>
      <c r="FG87" s="44">
        <v>18.07</v>
      </c>
      <c r="FH87" s="44">
        <v>260.24</v>
      </c>
      <c r="FI87" s="44">
        <v>260.24</v>
      </c>
      <c r="FJ87" s="44">
        <v>581.28</v>
      </c>
      <c r="FK87" s="44">
        <v>1305.78</v>
      </c>
      <c r="FL87" s="44">
        <v>1023.39</v>
      </c>
      <c r="FM87" s="44">
        <v>633.83000000000004</v>
      </c>
      <c r="FN87" s="44">
        <v>233.32</v>
      </c>
      <c r="FO87" s="44">
        <v>66</v>
      </c>
      <c r="FP87" s="44">
        <v>650.52</v>
      </c>
      <c r="FQ87" s="44">
        <v>686.29</v>
      </c>
      <c r="FR87" s="44">
        <v>748.29</v>
      </c>
      <c r="FS87" s="44" t="s">
        <v>87</v>
      </c>
      <c r="FT87" s="44" t="s">
        <v>87</v>
      </c>
      <c r="FU87" s="44">
        <v>1212.48</v>
      </c>
      <c r="FV87" s="44">
        <v>1820.29</v>
      </c>
      <c r="FW87" s="44">
        <v>1536.38</v>
      </c>
      <c r="FX87" s="44">
        <v>805.17</v>
      </c>
      <c r="FY87" s="44">
        <v>772</v>
      </c>
      <c r="FZ87" s="44">
        <v>108.4</v>
      </c>
      <c r="GA87" s="44">
        <v>180.47</v>
      </c>
      <c r="GB87" s="44">
        <v>659.13</v>
      </c>
      <c r="GC87" s="44">
        <v>369.94</v>
      </c>
      <c r="GD87" s="44">
        <v>36.090000000000003</v>
      </c>
      <c r="GE87" s="44">
        <v>18.04</v>
      </c>
      <c r="GF87" s="44">
        <v>72.2</v>
      </c>
      <c r="GG87" s="44">
        <v>222.23</v>
      </c>
      <c r="GH87" s="44">
        <v>716.73</v>
      </c>
      <c r="GI87" s="44">
        <v>1167.9000000000001</v>
      </c>
      <c r="GJ87" s="44">
        <v>603.57000000000005</v>
      </c>
      <c r="GK87" s="44">
        <v>249.88</v>
      </c>
      <c r="GL87" s="44">
        <v>727.87</v>
      </c>
      <c r="GM87" s="44">
        <v>352.81</v>
      </c>
      <c r="GN87" s="44">
        <v>141.37</v>
      </c>
      <c r="GO87" s="44">
        <v>779.06</v>
      </c>
      <c r="GP87" s="44">
        <v>786</v>
      </c>
      <c r="GQ87" s="44">
        <v>226.79</v>
      </c>
      <c r="GR87" s="44">
        <v>36</v>
      </c>
      <c r="GS87" s="44">
        <v>882</v>
      </c>
      <c r="GT87" s="44">
        <v>1789.6</v>
      </c>
      <c r="GU87" s="44">
        <v>2077</v>
      </c>
      <c r="GV87" s="44">
        <v>2022.85</v>
      </c>
      <c r="GW87" s="44">
        <v>1455.27</v>
      </c>
      <c r="GX87" s="44">
        <v>198</v>
      </c>
      <c r="GY87" s="44">
        <v>247.2</v>
      </c>
      <c r="GZ87" s="44">
        <v>54.13</v>
      </c>
      <c r="HA87" s="44">
        <v>317.41000000000003</v>
      </c>
      <c r="HB87" s="44">
        <v>394.28</v>
      </c>
      <c r="HC87" s="44">
        <v>222.11</v>
      </c>
      <c r="HD87" s="44">
        <v>532.47</v>
      </c>
      <c r="HE87" s="44">
        <v>797.44</v>
      </c>
      <c r="HF87" s="44">
        <v>2231.71</v>
      </c>
      <c r="HG87" s="44">
        <v>1905.94</v>
      </c>
      <c r="HH87" s="44">
        <v>2861.61</v>
      </c>
      <c r="HI87" s="44">
        <v>1107.07</v>
      </c>
      <c r="HJ87" s="44">
        <v>1487.6</v>
      </c>
      <c r="HK87" s="44">
        <v>224.37</v>
      </c>
      <c r="HL87" s="44">
        <v>89.99</v>
      </c>
      <c r="HM87" s="44">
        <v>369.96</v>
      </c>
      <c r="HN87" s="44">
        <v>0</v>
      </c>
      <c r="HO87" s="44">
        <v>159.65</v>
      </c>
      <c r="HP87" s="44">
        <v>72.043000000000006</v>
      </c>
      <c r="HQ87" s="44">
        <v>131</v>
      </c>
      <c r="HR87" s="44">
        <v>153</v>
      </c>
      <c r="HS87" s="44">
        <v>2714.94</v>
      </c>
      <c r="HT87" s="44">
        <v>2107.1</v>
      </c>
      <c r="HU87" s="44">
        <v>1138.9050845387201</v>
      </c>
      <c r="HV87" s="44">
        <v>414.2</v>
      </c>
      <c r="HW87" s="44">
        <v>727.38</v>
      </c>
      <c r="HX87" s="44">
        <v>1172.08</v>
      </c>
      <c r="HY87" s="44">
        <v>442.71</v>
      </c>
      <c r="HZ87" s="44">
        <v>298.33999999999997</v>
      </c>
      <c r="IA87" s="44">
        <v>359</v>
      </c>
      <c r="IB87" s="44">
        <v>578.9</v>
      </c>
      <c r="IC87" s="44">
        <v>2867.9199999999996</v>
      </c>
      <c r="ID87" s="44">
        <v>3339.14</v>
      </c>
      <c r="IE87" s="44">
        <v>2758.1000000000004</v>
      </c>
      <c r="IF87" s="44">
        <v>1273.3399999999999</v>
      </c>
      <c r="IG87" s="44">
        <v>1281.5</v>
      </c>
      <c r="IH87" s="44">
        <v>295.45</v>
      </c>
      <c r="II87" s="44">
        <v>75.94</v>
      </c>
      <c r="IJ87" s="44">
        <v>822</v>
      </c>
      <c r="IK87" s="43">
        <v>1030.6500000000001</v>
      </c>
      <c r="IL87" s="43">
        <v>699.05</v>
      </c>
      <c r="IM87" s="43">
        <v>162</v>
      </c>
      <c r="IN87" s="43">
        <v>272.5</v>
      </c>
      <c r="IO87" s="43">
        <v>1764.625</v>
      </c>
      <c r="IP87" s="43">
        <v>1125.681</v>
      </c>
      <c r="IQ87" s="43">
        <v>1879.5550000000001</v>
      </c>
      <c r="IR87" s="43">
        <v>2036</v>
      </c>
      <c r="IS87" s="45">
        <v>1140.5</v>
      </c>
      <c r="IT87" s="45">
        <v>503</v>
      </c>
      <c r="IU87" s="45">
        <v>203.2</v>
      </c>
      <c r="IV87" s="45">
        <v>18</v>
      </c>
      <c r="IW87" s="45">
        <v>186</v>
      </c>
      <c r="IX87" s="45">
        <v>321</v>
      </c>
      <c r="IY87" s="45">
        <v>80.875</v>
      </c>
      <c r="IZ87" s="45">
        <v>1035.5899999999999</v>
      </c>
      <c r="JA87" s="45">
        <v>3504.49</v>
      </c>
      <c r="JB87" s="45">
        <v>3355.31</v>
      </c>
      <c r="JC87" s="45">
        <v>2724.01</v>
      </c>
      <c r="JD87" s="45">
        <v>2365.5</v>
      </c>
      <c r="JE87" s="45">
        <v>3132.47</v>
      </c>
      <c r="JF87" s="45">
        <v>995.43</v>
      </c>
      <c r="JG87" s="45">
        <v>403</v>
      </c>
      <c r="JH87" s="45">
        <v>1432.94</v>
      </c>
      <c r="JI87" s="45">
        <v>841.5</v>
      </c>
      <c r="JJ87" s="45">
        <v>0</v>
      </c>
      <c r="JK87" s="45">
        <v>168</v>
      </c>
      <c r="JL87" s="45">
        <v>314.31</v>
      </c>
      <c r="JM87" s="45">
        <v>1024.0999999999999</v>
      </c>
      <c r="JN87" s="45">
        <v>767.66</v>
      </c>
      <c r="JO87" s="45">
        <v>510.05</v>
      </c>
      <c r="JP87" s="45">
        <v>2593.48</v>
      </c>
      <c r="JQ87" s="45">
        <v>783.03</v>
      </c>
      <c r="JR87" s="45">
        <v>189</v>
      </c>
      <c r="JS87" s="45">
        <v>453.53</v>
      </c>
      <c r="JT87" s="45">
        <v>3679.42</v>
      </c>
      <c r="JU87" s="45">
        <v>3785.172</v>
      </c>
      <c r="JV87" s="45">
        <v>976.75</v>
      </c>
      <c r="JW87" s="45">
        <v>734.05</v>
      </c>
      <c r="JX87" s="45">
        <v>3776.1959999999999</v>
      </c>
      <c r="JY87" s="45">
        <v>5669.9780000000001</v>
      </c>
      <c r="JZ87" s="45">
        <v>5924.5469999999996</v>
      </c>
      <c r="KA87" s="45">
        <v>6279.74</v>
      </c>
      <c r="KB87" s="45">
        <v>4581.1279999999997</v>
      </c>
      <c r="KC87" s="45">
        <v>1613.04</v>
      </c>
      <c r="KD87" s="45">
        <v>1493.8</v>
      </c>
      <c r="KE87" s="45">
        <v>2445.8000000000002</v>
      </c>
      <c r="KF87" s="45">
        <v>3420.5920000000001</v>
      </c>
      <c r="KG87" s="45">
        <v>5443.6629999999996</v>
      </c>
      <c r="KH87" s="45">
        <v>649.5</v>
      </c>
      <c r="KI87" s="45">
        <v>1773.05</v>
      </c>
      <c r="KJ87" s="45">
        <v>3086.5</v>
      </c>
      <c r="KK87" s="45">
        <v>3076.6469999999999</v>
      </c>
      <c r="KL87" s="45">
        <v>1534.05</v>
      </c>
      <c r="KM87" s="45">
        <v>4319.6000000000004</v>
      </c>
      <c r="KN87" s="45">
        <v>2524.674</v>
      </c>
      <c r="KO87" s="45">
        <v>636.89800000000002</v>
      </c>
      <c r="KP87" s="45">
        <v>168.626</v>
      </c>
      <c r="KQ87" s="45">
        <v>108</v>
      </c>
      <c r="KR87" s="45">
        <v>851.17499999999995</v>
      </c>
      <c r="KS87" s="45">
        <v>1416.472</v>
      </c>
      <c r="KT87" s="45">
        <v>295.79399999999998</v>
      </c>
      <c r="KU87" s="45">
        <v>201.75</v>
      </c>
      <c r="KV87" s="45">
        <v>943.15</v>
      </c>
      <c r="KW87" s="45">
        <v>2476.6999999999998</v>
      </c>
      <c r="KX87" s="45">
        <v>2941.5</v>
      </c>
      <c r="KY87" s="45">
        <v>852.5</v>
      </c>
      <c r="KZ87" s="45">
        <v>2122</v>
      </c>
      <c r="LA87" s="45">
        <v>3435.4</v>
      </c>
      <c r="LB87" s="45">
        <v>793.75</v>
      </c>
      <c r="LC87" s="45">
        <v>637.75</v>
      </c>
      <c r="LD87" s="45">
        <v>315</v>
      </c>
      <c r="LE87" s="45">
        <v>527</v>
      </c>
      <c r="LF87" s="45">
        <v>444.8</v>
      </c>
      <c r="LG87" s="45">
        <v>163.5</v>
      </c>
      <c r="LH87" s="45">
        <v>1443.5</v>
      </c>
      <c r="LI87" s="45">
        <v>4220.6499999999996</v>
      </c>
      <c r="LJ87" s="45">
        <v>5201.6400000000003</v>
      </c>
      <c r="LK87" s="45">
        <v>2454.6</v>
      </c>
      <c r="LL87" s="45">
        <v>1542.2560000000001</v>
      </c>
      <c r="LM87" s="45">
        <v>423</v>
      </c>
      <c r="LN87" s="45">
        <v>592.4</v>
      </c>
      <c r="LO87" s="45">
        <v>1690.6079999999999</v>
      </c>
      <c r="LP87" s="45">
        <v>1325.5</v>
      </c>
      <c r="LQ87" s="45">
        <v>1479.35</v>
      </c>
      <c r="LR87" s="45">
        <v>385.85199999999998</v>
      </c>
      <c r="LS87" s="45">
        <v>365.52499999999998</v>
      </c>
      <c r="LT87" s="45">
        <v>1511.29</v>
      </c>
      <c r="LU87" s="43"/>
      <c r="LV87" s="43"/>
      <c r="LW87" s="43"/>
      <c r="LX87" s="43"/>
    </row>
    <row r="88" spans="1:336" s="29" customFormat="1" x14ac:dyDescent="0.3">
      <c r="A88" s="33" t="s">
        <v>92</v>
      </c>
      <c r="B88" s="46" t="s">
        <v>89</v>
      </c>
      <c r="C88" s="43" t="s">
        <v>86</v>
      </c>
      <c r="D88" s="44">
        <v>90</v>
      </c>
      <c r="E88" s="44" t="s">
        <v>86</v>
      </c>
      <c r="F88" s="44">
        <v>1030</v>
      </c>
      <c r="G88" s="44" t="s">
        <v>86</v>
      </c>
      <c r="H88" s="44" t="s">
        <v>86</v>
      </c>
      <c r="I88" s="44">
        <v>115.3</v>
      </c>
      <c r="J88" s="44" t="s">
        <v>86</v>
      </c>
      <c r="K88" s="44">
        <v>19.899999999999999</v>
      </c>
      <c r="L88" s="44" t="s">
        <v>86</v>
      </c>
      <c r="M88" s="44" t="s">
        <v>86</v>
      </c>
      <c r="N88" s="44" t="s">
        <v>86</v>
      </c>
      <c r="O88" s="44" t="s">
        <v>86</v>
      </c>
      <c r="P88" s="44" t="s">
        <v>86</v>
      </c>
      <c r="Q88" s="44" t="s">
        <v>86</v>
      </c>
      <c r="R88" s="44" t="s">
        <v>86</v>
      </c>
      <c r="S88" s="44" t="s">
        <v>86</v>
      </c>
      <c r="T88" s="44">
        <v>1</v>
      </c>
      <c r="U88" s="44">
        <v>160</v>
      </c>
      <c r="V88" s="44">
        <v>121</v>
      </c>
      <c r="W88" s="44">
        <v>61</v>
      </c>
      <c r="X88" s="44">
        <v>35</v>
      </c>
      <c r="Y88" s="44">
        <v>246.4</v>
      </c>
      <c r="Z88" s="44">
        <v>134</v>
      </c>
      <c r="AA88" s="44">
        <v>129.69999999999999</v>
      </c>
      <c r="AB88" s="44">
        <v>360</v>
      </c>
      <c r="AC88" s="44">
        <v>568.9</v>
      </c>
      <c r="AD88" s="44">
        <f>70+55</f>
        <v>125</v>
      </c>
      <c r="AE88" s="44">
        <f>97+101</f>
        <v>198</v>
      </c>
      <c r="AF88" s="44">
        <f>33+238.7</f>
        <v>271.7</v>
      </c>
      <c r="AG88" s="44">
        <v>132.5</v>
      </c>
      <c r="AH88" s="44">
        <v>166.7</v>
      </c>
      <c r="AI88" s="44">
        <v>70</v>
      </c>
      <c r="AJ88" s="44">
        <v>283.3</v>
      </c>
      <c r="AK88" s="44">
        <v>50.5</v>
      </c>
      <c r="AL88" s="44">
        <v>200.1</v>
      </c>
      <c r="AM88" s="44">
        <v>336</v>
      </c>
      <c r="AN88" s="44">
        <v>234.3</v>
      </c>
      <c r="AO88" s="44">
        <v>330</v>
      </c>
      <c r="AP88" s="44">
        <v>432.77</v>
      </c>
      <c r="AQ88" s="44">
        <v>248.28</v>
      </c>
      <c r="AR88" s="44">
        <v>118.2</v>
      </c>
      <c r="AS88" s="44">
        <v>710.35</v>
      </c>
      <c r="AT88" s="44">
        <f>166.4+310</f>
        <v>476.4</v>
      </c>
      <c r="AU88" s="44">
        <f>130.2+83.3</f>
        <v>213.5</v>
      </c>
      <c r="AV88" s="44">
        <v>30</v>
      </c>
      <c r="AW88" s="44">
        <f>15+220</f>
        <v>235</v>
      </c>
      <c r="AX88" s="44">
        <v>3</v>
      </c>
      <c r="AY88" s="44">
        <v>210</v>
      </c>
      <c r="AZ88" s="44">
        <v>83.6</v>
      </c>
      <c r="BA88" s="44">
        <f>12+59.7</f>
        <v>71.7</v>
      </c>
      <c r="BB88" s="44">
        <v>58.5</v>
      </c>
      <c r="BC88" s="44">
        <v>257</v>
      </c>
      <c r="BD88" s="44" t="s">
        <v>86</v>
      </c>
      <c r="BE88" s="44" t="s">
        <v>86</v>
      </c>
      <c r="BF88" s="44" t="s">
        <v>86</v>
      </c>
      <c r="BG88" s="44" t="s">
        <v>86</v>
      </c>
      <c r="BH88" s="44" t="s">
        <v>86</v>
      </c>
      <c r="BI88" s="44" t="s">
        <v>86</v>
      </c>
      <c r="BJ88" s="44" t="s">
        <v>86</v>
      </c>
      <c r="BK88" s="44" t="s">
        <v>86</v>
      </c>
      <c r="BL88" s="44" t="s">
        <v>86</v>
      </c>
      <c r="BM88" s="44" t="s">
        <v>86</v>
      </c>
      <c r="BN88" s="44" t="s">
        <v>86</v>
      </c>
      <c r="BO88" s="44" t="s">
        <v>86</v>
      </c>
      <c r="BP88" s="44" t="s">
        <v>86</v>
      </c>
      <c r="BQ88" s="44" t="s">
        <v>86</v>
      </c>
      <c r="BR88" s="44">
        <v>63</v>
      </c>
      <c r="BS88" s="44" t="s">
        <v>86</v>
      </c>
      <c r="BT88" s="44">
        <v>77.08</v>
      </c>
      <c r="BU88" s="44">
        <v>6</v>
      </c>
      <c r="BV88" s="44" t="s">
        <v>86</v>
      </c>
      <c r="BW88" s="44" t="s">
        <v>86</v>
      </c>
      <c r="BX88" s="44" t="s">
        <v>86</v>
      </c>
      <c r="BY88" s="44">
        <v>35</v>
      </c>
      <c r="BZ88" s="44" t="s">
        <v>86</v>
      </c>
      <c r="CA88" s="44" t="s">
        <v>86</v>
      </c>
      <c r="CB88" s="44" t="s">
        <v>86</v>
      </c>
      <c r="CC88" s="44"/>
      <c r="CD88" s="44">
        <v>11.5</v>
      </c>
      <c r="CE88" s="44" t="s">
        <v>86</v>
      </c>
      <c r="CF88" s="44" t="s">
        <v>86</v>
      </c>
      <c r="CG88" s="44" t="s">
        <v>86</v>
      </c>
      <c r="CH88" s="44" t="s">
        <v>86</v>
      </c>
      <c r="CI88" s="44">
        <v>10</v>
      </c>
      <c r="CJ88" s="44">
        <v>13</v>
      </c>
      <c r="CK88" s="44">
        <v>0.05</v>
      </c>
      <c r="CL88" s="44" t="s">
        <v>86</v>
      </c>
      <c r="CM88" s="44" t="s">
        <v>86</v>
      </c>
      <c r="CN88" s="44">
        <v>15.3</v>
      </c>
      <c r="CO88" s="44" t="s">
        <v>86</v>
      </c>
      <c r="CP88" s="44" t="s">
        <v>86</v>
      </c>
      <c r="CQ88" s="44" t="s">
        <v>86</v>
      </c>
      <c r="CR88" s="44" t="s">
        <v>86</v>
      </c>
      <c r="CS88" s="44" t="s">
        <v>86</v>
      </c>
      <c r="CT88" s="44" t="s">
        <v>86</v>
      </c>
      <c r="CU88" s="44" t="s">
        <v>86</v>
      </c>
      <c r="CV88" s="44" t="s">
        <v>86</v>
      </c>
      <c r="CW88" s="44" t="s">
        <v>86</v>
      </c>
      <c r="CX88" s="44" t="s">
        <v>86</v>
      </c>
      <c r="CY88" s="44" t="s">
        <v>86</v>
      </c>
      <c r="CZ88" s="44">
        <v>39</v>
      </c>
      <c r="DA88" s="44">
        <v>5</v>
      </c>
      <c r="DB88" s="44" t="s">
        <v>86</v>
      </c>
      <c r="DC88" s="44">
        <v>10.01</v>
      </c>
      <c r="DD88" s="44">
        <v>14.8</v>
      </c>
      <c r="DE88" s="44">
        <v>13.5</v>
      </c>
      <c r="DF88" s="44" t="s">
        <v>86</v>
      </c>
      <c r="DG88" s="44" t="s">
        <v>86</v>
      </c>
      <c r="DH88" s="44" t="s">
        <v>86</v>
      </c>
      <c r="DI88" s="44" t="s">
        <v>87</v>
      </c>
      <c r="DJ88" s="44">
        <v>13.5</v>
      </c>
      <c r="DK88" s="44" t="s">
        <v>87</v>
      </c>
      <c r="DL88" s="44" t="s">
        <v>87</v>
      </c>
      <c r="DM88" s="44">
        <v>18.649999999999999</v>
      </c>
      <c r="DN88" s="44">
        <v>12.19</v>
      </c>
      <c r="DO88" s="44">
        <v>13.06</v>
      </c>
      <c r="DP88" s="44">
        <v>43.01</v>
      </c>
      <c r="DQ88" s="44" t="s">
        <v>87</v>
      </c>
      <c r="DR88" s="44" t="s">
        <v>87</v>
      </c>
      <c r="DS88" s="44">
        <v>27</v>
      </c>
      <c r="DT88" s="44">
        <v>37</v>
      </c>
      <c r="DU88" s="44">
        <v>67</v>
      </c>
      <c r="DV88" s="44">
        <v>1.8</v>
      </c>
      <c r="DW88" s="44" t="s">
        <v>87</v>
      </c>
      <c r="DX88" s="44" t="s">
        <v>87</v>
      </c>
      <c r="DY88" s="44" t="s">
        <v>87</v>
      </c>
      <c r="DZ88" s="44" t="s">
        <v>87</v>
      </c>
      <c r="EA88" s="44" t="s">
        <v>87</v>
      </c>
      <c r="EB88" s="44" t="s">
        <v>87</v>
      </c>
      <c r="EC88" s="44" t="s">
        <v>87</v>
      </c>
      <c r="ED88" s="44" t="s">
        <v>87</v>
      </c>
      <c r="EE88" s="44" t="s">
        <v>87</v>
      </c>
      <c r="EF88" s="44" t="s">
        <v>87</v>
      </c>
      <c r="EG88" s="44">
        <v>157.5</v>
      </c>
      <c r="EH88" s="44">
        <v>104.18</v>
      </c>
      <c r="EI88" s="44">
        <v>80.099999999999994</v>
      </c>
      <c r="EJ88" s="44">
        <v>112.5</v>
      </c>
      <c r="EK88" s="44">
        <v>139.22</v>
      </c>
      <c r="EL88" s="44" t="s">
        <v>93</v>
      </c>
      <c r="EM88" s="44">
        <f>18+4</f>
        <v>22</v>
      </c>
      <c r="EN88" s="44">
        <v>30</v>
      </c>
      <c r="EO88" s="44">
        <v>71</v>
      </c>
      <c r="EP88" s="44" t="s">
        <v>87</v>
      </c>
      <c r="EQ88" s="44">
        <v>116.18</v>
      </c>
      <c r="ER88" s="44">
        <v>103.5</v>
      </c>
      <c r="ES88" s="44">
        <v>18</v>
      </c>
      <c r="ET88" s="44">
        <v>18</v>
      </c>
      <c r="EU88" s="44">
        <v>18.61</v>
      </c>
      <c r="EV88" s="44" t="s">
        <v>87</v>
      </c>
      <c r="EW88" s="44">
        <v>177.63</v>
      </c>
      <c r="EX88" s="44">
        <v>49.5</v>
      </c>
      <c r="EY88" s="44">
        <v>5.4</v>
      </c>
      <c r="EZ88" s="44">
        <v>18</v>
      </c>
      <c r="FA88" s="44"/>
      <c r="FB88" s="44">
        <v>18</v>
      </c>
      <c r="FC88" s="44">
        <v>104</v>
      </c>
      <c r="FD88" s="44">
        <v>18.23</v>
      </c>
      <c r="FE88" s="44" t="s">
        <v>87</v>
      </c>
      <c r="FF88" s="44">
        <v>24.47</v>
      </c>
      <c r="FG88" s="44" t="s">
        <v>87</v>
      </c>
      <c r="FH88" s="44">
        <v>40.08</v>
      </c>
      <c r="FI88" s="44">
        <v>18.13</v>
      </c>
      <c r="FJ88" s="44" t="s">
        <v>93</v>
      </c>
      <c r="FK88" s="44">
        <f>6.75+27.21</f>
        <v>33.96</v>
      </c>
      <c r="FL88" s="44">
        <v>43.45</v>
      </c>
      <c r="FM88" s="44">
        <v>24.72</v>
      </c>
      <c r="FN88" s="44" t="s">
        <v>87</v>
      </c>
      <c r="FO88" s="44">
        <v>13.97</v>
      </c>
      <c r="FP88" s="44">
        <v>45.38</v>
      </c>
      <c r="FQ88" s="44">
        <v>216.07</v>
      </c>
      <c r="FR88" s="44">
        <v>45</v>
      </c>
      <c r="FS88" s="44" t="s">
        <v>87</v>
      </c>
      <c r="FT88" s="44">
        <v>139.5</v>
      </c>
      <c r="FU88" s="44">
        <v>139.5</v>
      </c>
      <c r="FV88" s="44">
        <v>243</v>
      </c>
      <c r="FW88" s="44">
        <v>249.75</v>
      </c>
      <c r="FX88" s="44">
        <v>280.8</v>
      </c>
      <c r="FY88" s="44">
        <v>113.4</v>
      </c>
      <c r="FZ88" s="44">
        <v>144</v>
      </c>
      <c r="GA88" s="44">
        <v>740</v>
      </c>
      <c r="GB88" s="44">
        <f>381.2+9</f>
        <v>390.2</v>
      </c>
      <c r="GC88" s="44">
        <f>36+40.5</f>
        <v>76.5</v>
      </c>
      <c r="GD88" s="44">
        <v>189.9</v>
      </c>
      <c r="GE88" s="44">
        <v>372</v>
      </c>
      <c r="GF88" s="44">
        <f>155.7+18</f>
        <v>173.7</v>
      </c>
      <c r="GG88" s="44">
        <v>385.4</v>
      </c>
      <c r="GH88" s="44">
        <v>90.14</v>
      </c>
      <c r="GI88" s="44">
        <v>94.5</v>
      </c>
      <c r="GJ88" s="44">
        <f>11+191.7</f>
        <v>202.7</v>
      </c>
      <c r="GK88" s="44">
        <v>132</v>
      </c>
      <c r="GL88" s="44">
        <v>20.7</v>
      </c>
      <c r="GM88" s="44">
        <v>13.5</v>
      </c>
      <c r="GN88" s="44">
        <f>74.48+2341.24</f>
        <v>2415.7199999999998</v>
      </c>
      <c r="GO88" s="44">
        <f>1+1437.8</f>
        <v>1438.8</v>
      </c>
      <c r="GP88" s="44">
        <v>624.04999999999995</v>
      </c>
      <c r="GQ88" s="44">
        <f>10+352</f>
        <v>362</v>
      </c>
      <c r="GR88" s="44">
        <f>26+115</f>
        <v>141</v>
      </c>
      <c r="GS88" s="44">
        <f>219+27</f>
        <v>246</v>
      </c>
      <c r="GT88" s="44">
        <v>39.9</v>
      </c>
      <c r="GU88" s="44">
        <v>256</v>
      </c>
      <c r="GV88" s="44">
        <v>232.98</v>
      </c>
      <c r="GW88" s="44">
        <v>133.5</v>
      </c>
      <c r="GX88" s="44">
        <v>66</v>
      </c>
      <c r="GY88" s="44">
        <f>194+4</f>
        <v>198</v>
      </c>
      <c r="GZ88" s="44">
        <f>1+1163.9</f>
        <v>1164.9000000000001</v>
      </c>
      <c r="HA88" s="44">
        <f>586.8</f>
        <v>586.79999999999995</v>
      </c>
      <c r="HB88" s="44">
        <v>181.38</v>
      </c>
      <c r="HC88" s="44">
        <v>30</v>
      </c>
      <c r="HD88" s="44">
        <v>148.25</v>
      </c>
      <c r="HE88" s="44">
        <v>278.31</v>
      </c>
      <c r="HF88" s="44">
        <f>188.45+0</f>
        <v>188.45</v>
      </c>
      <c r="HG88" s="44">
        <f>199.7+0</f>
        <v>199.7</v>
      </c>
      <c r="HH88" s="44">
        <v>211</v>
      </c>
      <c r="HI88" s="44">
        <f>30+1209</f>
        <v>1239</v>
      </c>
      <c r="HJ88" s="44">
        <v>7</v>
      </c>
      <c r="HK88" s="44">
        <f>21.5+647.56</f>
        <v>669.06</v>
      </c>
      <c r="HL88" s="44">
        <v>687.2</v>
      </c>
      <c r="HM88" s="44">
        <v>515.71</v>
      </c>
      <c r="HN88" s="44">
        <v>124.2</v>
      </c>
      <c r="HO88" s="44">
        <v>232.79</v>
      </c>
      <c r="HP88" s="44">
        <v>99</v>
      </c>
      <c r="HQ88" s="44">
        <v>0</v>
      </c>
      <c r="HR88" s="44">
        <v>0</v>
      </c>
      <c r="HS88" s="44">
        <v>0</v>
      </c>
      <c r="HT88" s="44">
        <v>0</v>
      </c>
      <c r="HU88" s="44">
        <v>0</v>
      </c>
      <c r="HV88" s="44">
        <v>0</v>
      </c>
      <c r="HW88" s="44">
        <f>20+65.63</f>
        <v>85.63</v>
      </c>
      <c r="HX88" s="44">
        <f>61.61+44.75</f>
        <v>106.36</v>
      </c>
      <c r="HY88" s="44">
        <f>10+138.3</f>
        <v>148.30000000000001</v>
      </c>
      <c r="HZ88" s="44">
        <f>199.5+0</f>
        <v>199.5</v>
      </c>
      <c r="IA88" s="44">
        <f>378.36+0.2</f>
        <v>378.56</v>
      </c>
      <c r="IB88" s="44">
        <f>72.96+0</f>
        <v>72.959999999999994</v>
      </c>
      <c r="IC88" s="44">
        <f>54.17+15.07</f>
        <v>69.240000000000009</v>
      </c>
      <c r="ID88" s="44">
        <f>393.29+12.18</f>
        <v>405.47</v>
      </c>
      <c r="IE88" s="44">
        <f>28.3+22.5</f>
        <v>50.8</v>
      </c>
      <c r="IF88" s="44">
        <f>10+24.55</f>
        <v>34.549999999999997</v>
      </c>
      <c r="IG88" s="44">
        <f>0.06+0</f>
        <v>0.06</v>
      </c>
      <c r="IH88" s="44">
        <f>1.5+0.6</f>
        <v>2.1</v>
      </c>
      <c r="II88" s="44">
        <v>253.9</v>
      </c>
      <c r="IJ88" s="44">
        <f>571.01+4.8</f>
        <v>575.80999999999995</v>
      </c>
      <c r="IK88" s="43">
        <f>35.84+355.6</f>
        <v>391.44000000000005</v>
      </c>
      <c r="IL88" s="43">
        <f>56.99+53.55</f>
        <v>110.53999999999999</v>
      </c>
      <c r="IM88" s="43">
        <v>68.150000000000006</v>
      </c>
      <c r="IN88" s="43">
        <f>129+77</f>
        <v>206</v>
      </c>
      <c r="IO88" s="43">
        <f>78.6+54</f>
        <v>132.6</v>
      </c>
      <c r="IP88" s="43">
        <f>203.92+50.4</f>
        <v>254.32</v>
      </c>
      <c r="IQ88" s="43">
        <f>92.775+0</f>
        <v>92.775000000000006</v>
      </c>
      <c r="IR88" s="43">
        <f>47.4+195.4</f>
        <v>242.8</v>
      </c>
      <c r="IS88" s="45">
        <f>51.201+31.87</f>
        <v>83.070999999999998</v>
      </c>
      <c r="IT88" s="45">
        <f>41.22+0</f>
        <v>41.22</v>
      </c>
      <c r="IU88" s="45">
        <f>0+20</f>
        <v>20</v>
      </c>
      <c r="IV88" s="44">
        <v>1.2</v>
      </c>
      <c r="IW88" s="44">
        <v>0.53</v>
      </c>
      <c r="IX88" s="44">
        <v>0</v>
      </c>
      <c r="IY88" s="44">
        <v>0</v>
      </c>
      <c r="IZ88" s="44">
        <v>0</v>
      </c>
      <c r="JA88" s="44" t="s">
        <v>93</v>
      </c>
      <c r="JB88" s="44" t="s">
        <v>93</v>
      </c>
      <c r="JC88" s="44" t="s">
        <v>93</v>
      </c>
      <c r="JD88" s="44">
        <f>0.03+0</f>
        <v>0.03</v>
      </c>
      <c r="JE88" s="44">
        <v>0.02</v>
      </c>
      <c r="JF88" s="44">
        <v>0</v>
      </c>
      <c r="JG88" s="44">
        <f>0+0</f>
        <v>0</v>
      </c>
      <c r="JH88" s="44">
        <f>0+18</f>
        <v>18</v>
      </c>
      <c r="JI88" s="44">
        <f>0.11+0</f>
        <v>0.11</v>
      </c>
      <c r="JJ88" s="44">
        <f>0+0</f>
        <v>0</v>
      </c>
      <c r="JK88" s="44">
        <f>0.03+0</f>
        <v>0.03</v>
      </c>
      <c r="JL88" s="44">
        <v>0</v>
      </c>
      <c r="JM88" s="44">
        <f>0+0.03201</f>
        <v>3.2009999999999997E-2</v>
      </c>
      <c r="JN88" s="44"/>
      <c r="JO88" s="44">
        <v>0</v>
      </c>
      <c r="JP88" s="44">
        <v>0</v>
      </c>
      <c r="JQ88" s="44">
        <v>0</v>
      </c>
      <c r="JR88" s="44">
        <f>13.08+3.37</f>
        <v>16.45</v>
      </c>
      <c r="JS88" s="44">
        <v>354.24</v>
      </c>
      <c r="JT88" s="44">
        <f>3.9+524.54</f>
        <v>528.43999999999994</v>
      </c>
      <c r="JU88" s="44">
        <f>246.3+228.095</f>
        <v>474.39499999999998</v>
      </c>
      <c r="JV88" s="44">
        <f>8.1+182.54</f>
        <v>190.64</v>
      </c>
      <c r="JW88" s="44">
        <f>3.95+142.6</f>
        <v>146.54999999999998</v>
      </c>
      <c r="JX88" s="44">
        <v>30.95</v>
      </c>
      <c r="JY88" s="44">
        <v>34.21</v>
      </c>
      <c r="JZ88" s="44">
        <v>120.89</v>
      </c>
      <c r="KA88" s="44">
        <v>51.5</v>
      </c>
      <c r="KB88" s="44">
        <v>134.334</v>
      </c>
      <c r="KC88" s="44">
        <v>434.971</v>
      </c>
      <c r="KD88" s="44">
        <v>2701.3</v>
      </c>
      <c r="KE88" s="44">
        <v>844.19</v>
      </c>
      <c r="KF88" s="44">
        <v>2071.25</v>
      </c>
      <c r="KG88" s="44">
        <v>1918.3300000000002</v>
      </c>
      <c r="KH88" s="44">
        <v>2183.12</v>
      </c>
      <c r="KI88" s="44">
        <v>3644.1899999999996</v>
      </c>
      <c r="KJ88" s="44">
        <v>803.18799999999999</v>
      </c>
      <c r="KK88" s="44">
        <v>948.34100000000001</v>
      </c>
      <c r="KL88" s="44">
        <v>605.57600000000002</v>
      </c>
      <c r="KM88" s="44">
        <v>503</v>
      </c>
      <c r="KN88" s="44">
        <v>1801.4109999999998</v>
      </c>
      <c r="KO88" s="44">
        <v>331.4</v>
      </c>
      <c r="KP88" s="44">
        <v>145.04999999999998</v>
      </c>
      <c r="KQ88" s="44">
        <v>1387.5</v>
      </c>
      <c r="KR88" s="44">
        <v>1833.3</v>
      </c>
      <c r="KS88" s="44">
        <v>2456.6</v>
      </c>
      <c r="KT88" s="44">
        <v>1915.29</v>
      </c>
      <c r="KU88" s="44">
        <v>548.98</v>
      </c>
      <c r="KV88" s="44">
        <v>478.03000000000003</v>
      </c>
      <c r="KW88" s="44">
        <v>919.21</v>
      </c>
      <c r="KX88" s="44">
        <v>690.76</v>
      </c>
      <c r="KY88" s="44">
        <v>293.49599999999998</v>
      </c>
      <c r="KZ88" s="44">
        <v>9.8800000000000008</v>
      </c>
      <c r="LA88" s="44">
        <v>268.75</v>
      </c>
      <c r="LB88" s="44">
        <v>186.25</v>
      </c>
      <c r="LC88" s="44">
        <v>224.2</v>
      </c>
      <c r="LD88" s="44">
        <v>1381.26</v>
      </c>
      <c r="LE88" s="44">
        <v>3160.4</v>
      </c>
      <c r="LF88" s="44">
        <v>1706.7550000000001</v>
      </c>
      <c r="LG88" s="44">
        <v>807.76199999999994</v>
      </c>
      <c r="LH88" s="44">
        <v>2708.3119999999999</v>
      </c>
      <c r="LI88" s="44">
        <v>3537.3050000000003</v>
      </c>
      <c r="LJ88" s="44">
        <v>2665.43</v>
      </c>
      <c r="LK88" s="44">
        <v>1467.35</v>
      </c>
      <c r="LL88" s="44">
        <v>746.76</v>
      </c>
      <c r="LM88" s="44">
        <v>1428.723</v>
      </c>
      <c r="LN88" s="44">
        <v>562.65</v>
      </c>
      <c r="LO88" s="44">
        <v>1051.8620000000001</v>
      </c>
      <c r="LP88" s="44">
        <v>3247.9500000000003</v>
      </c>
      <c r="LQ88" s="44">
        <v>3613.683</v>
      </c>
      <c r="LR88" s="44">
        <v>3630.3109999999997</v>
      </c>
      <c r="LS88" s="44">
        <v>1629.8200000000002</v>
      </c>
      <c r="LT88" s="44">
        <v>787.28800000000001</v>
      </c>
      <c r="LU88" s="43"/>
      <c r="LV88" s="43"/>
      <c r="LW88" s="43"/>
      <c r="LX88" s="43"/>
    </row>
    <row r="89" spans="1:336" s="29" customFormat="1" x14ac:dyDescent="0.3">
      <c r="A89" s="33" t="s">
        <v>12</v>
      </c>
      <c r="B89" s="46" t="s">
        <v>89</v>
      </c>
      <c r="C89" s="43">
        <v>1252</v>
      </c>
      <c r="D89" s="44">
        <v>4551.6099999999997</v>
      </c>
      <c r="E89" s="44">
        <v>4760</v>
      </c>
      <c r="F89" s="44">
        <v>4021.36</v>
      </c>
      <c r="G89" s="44">
        <v>2882</v>
      </c>
      <c r="H89" s="44">
        <v>4371.8999999999996</v>
      </c>
      <c r="I89" s="44">
        <v>5288</v>
      </c>
      <c r="J89" s="44">
        <v>4188.7</v>
      </c>
      <c r="K89" s="44">
        <v>1078.9000000000001</v>
      </c>
      <c r="L89" s="44">
        <v>1329.4</v>
      </c>
      <c r="M89" s="44">
        <v>1052.7</v>
      </c>
      <c r="N89" s="44">
        <v>243</v>
      </c>
      <c r="O89" s="44">
        <v>353</v>
      </c>
      <c r="P89" s="44">
        <v>201.5</v>
      </c>
      <c r="Q89" s="44">
        <v>2462</v>
      </c>
      <c r="R89" s="44">
        <v>1477.2</v>
      </c>
      <c r="S89" s="44">
        <v>1758.31</v>
      </c>
      <c r="T89" s="44">
        <v>1806.38</v>
      </c>
      <c r="U89" s="44">
        <v>6340</v>
      </c>
      <c r="V89" s="44">
        <v>4684.7</v>
      </c>
      <c r="W89" s="44">
        <v>5020.7</v>
      </c>
      <c r="X89" s="44">
        <v>20440</v>
      </c>
      <c r="Y89" s="44">
        <v>6607.1</v>
      </c>
      <c r="Z89" s="44">
        <v>13328.6</v>
      </c>
      <c r="AA89" s="44">
        <v>825.4</v>
      </c>
      <c r="AB89" s="44">
        <v>2032.1</v>
      </c>
      <c r="AC89" s="44">
        <v>11164.4</v>
      </c>
      <c r="AD89" s="44">
        <v>13059.65</v>
      </c>
      <c r="AE89" s="44">
        <v>7631.12</v>
      </c>
      <c r="AF89" s="44">
        <f>4887.47+60</f>
        <v>4947.47</v>
      </c>
      <c r="AG89" s="44">
        <v>8084.56</v>
      </c>
      <c r="AH89" s="44">
        <v>9466.91</v>
      </c>
      <c r="AI89" s="44">
        <v>9310.64</v>
      </c>
      <c r="AJ89" s="44">
        <v>2812.94</v>
      </c>
      <c r="AK89" s="44">
        <v>2999</v>
      </c>
      <c r="AL89" s="44">
        <f>1913+190</f>
        <v>2103</v>
      </c>
      <c r="AM89" s="44">
        <f>1534.39+229</f>
        <v>1763.39</v>
      </c>
      <c r="AN89" s="44">
        <f>6698.8+654.64</f>
        <v>7353.4400000000005</v>
      </c>
      <c r="AO89" s="44">
        <f>7930.22+90</f>
        <v>8020.22</v>
      </c>
      <c r="AP89" s="44">
        <f>21583.81+1036</f>
        <v>22619.81</v>
      </c>
      <c r="AQ89" s="44">
        <f>17346.51+326</f>
        <v>17672.509999999998</v>
      </c>
      <c r="AR89" s="44">
        <f>14287+284</f>
        <v>14571</v>
      </c>
      <c r="AS89" s="44">
        <f>8761.57+318.63</f>
        <v>9080.1999999999989</v>
      </c>
      <c r="AT89" s="44">
        <f>2482.13+178.82</f>
        <v>2660.9500000000003</v>
      </c>
      <c r="AU89" s="44">
        <f>3139.19+146.8</f>
        <v>3285.9900000000002</v>
      </c>
      <c r="AV89" s="44">
        <f>6604.64+2.5</f>
        <v>6607.14</v>
      </c>
      <c r="AW89" s="44">
        <f>3301.4+28</f>
        <v>3329.4</v>
      </c>
      <c r="AX89" s="44">
        <v>2198.27</v>
      </c>
      <c r="AY89" s="44">
        <v>1617.55</v>
      </c>
      <c r="AZ89" s="44">
        <v>3746.54</v>
      </c>
      <c r="BA89" s="44">
        <f>6665.8+154</f>
        <v>6819.8</v>
      </c>
      <c r="BB89" s="44">
        <v>1364.68</v>
      </c>
      <c r="BC89" s="44">
        <v>2621.13</v>
      </c>
      <c r="BD89" s="44" t="s">
        <v>86</v>
      </c>
      <c r="BE89" s="44" t="s">
        <v>86</v>
      </c>
      <c r="BF89" s="44" t="s">
        <v>86</v>
      </c>
      <c r="BG89" s="44" t="s">
        <v>86</v>
      </c>
      <c r="BH89" s="44" t="s">
        <v>86</v>
      </c>
      <c r="BI89" s="44" t="s">
        <v>86</v>
      </c>
      <c r="BJ89" s="44" t="s">
        <v>86</v>
      </c>
      <c r="BK89" s="44" t="s">
        <v>86</v>
      </c>
      <c r="BL89" s="44" t="s">
        <v>86</v>
      </c>
      <c r="BM89" s="44" t="s">
        <v>86</v>
      </c>
      <c r="BN89" s="44">
        <v>3312.24</v>
      </c>
      <c r="BO89" s="44">
        <v>5519.54</v>
      </c>
      <c r="BP89" s="44">
        <v>3658.04</v>
      </c>
      <c r="BQ89" s="44">
        <v>1848.84</v>
      </c>
      <c r="BR89" s="44">
        <f>400+3268.58</f>
        <v>3668.58</v>
      </c>
      <c r="BS89" s="44">
        <f>6837.59+10</f>
        <v>6847.59</v>
      </c>
      <c r="BT89" s="44">
        <v>8714.14</v>
      </c>
      <c r="BU89" s="44">
        <f>3680.05+100.1</f>
        <v>3780.15</v>
      </c>
      <c r="BV89" s="44">
        <f>6744.15+862.01</f>
        <v>7606.16</v>
      </c>
      <c r="BW89" s="44">
        <f>4394.74+13</f>
        <v>4407.74</v>
      </c>
      <c r="BX89" s="44">
        <v>1298.97</v>
      </c>
      <c r="BY89" s="44">
        <f>1921.08+0.2</f>
        <v>1921.28</v>
      </c>
      <c r="BZ89" s="44">
        <f>368+2.5</f>
        <v>370.5</v>
      </c>
      <c r="CA89" s="44">
        <f>742.725+3</f>
        <v>745.72500000000002</v>
      </c>
      <c r="CB89" s="44">
        <v>522.6</v>
      </c>
      <c r="CC89" s="44">
        <f>979.1+157.5</f>
        <v>1136.5999999999999</v>
      </c>
      <c r="CD89" s="44">
        <f>4462+11.5</f>
        <v>4473.5</v>
      </c>
      <c r="CE89" s="44">
        <v>3905.91</v>
      </c>
      <c r="CF89" s="44">
        <f>4478.21+2.55</f>
        <v>4480.76</v>
      </c>
      <c r="CG89" s="44">
        <f>3651+35.25</f>
        <v>3686.25</v>
      </c>
      <c r="CH89" s="44">
        <f>6756.32+67.6</f>
        <v>6823.92</v>
      </c>
      <c r="CI89" s="44">
        <f>3476.7+67</f>
        <v>3543.7</v>
      </c>
      <c r="CJ89" s="44">
        <f>957.55+12</f>
        <v>969.55</v>
      </c>
      <c r="CK89" s="44">
        <f>2057+10.75</f>
        <v>2067.75</v>
      </c>
      <c r="CL89" s="44">
        <f>3479.22+433.39</f>
        <v>3912.6099999999997</v>
      </c>
      <c r="CM89" s="44">
        <v>2800.72</v>
      </c>
      <c r="CN89" s="44">
        <f>3929.9+375</f>
        <v>4304.8999999999996</v>
      </c>
      <c r="CO89" s="44">
        <v>4724.49</v>
      </c>
      <c r="CP89" s="44">
        <v>548.37</v>
      </c>
      <c r="CQ89" s="44">
        <v>2950.98</v>
      </c>
      <c r="CR89" s="44">
        <v>1265.4100000000001</v>
      </c>
      <c r="CS89" s="44">
        <v>343.26</v>
      </c>
      <c r="CT89" s="44">
        <v>236.25</v>
      </c>
      <c r="CU89" s="44">
        <v>498.68</v>
      </c>
      <c r="CV89" s="44">
        <v>1209.1600000000001</v>
      </c>
      <c r="CW89" s="44">
        <v>1271.67</v>
      </c>
      <c r="CX89" s="44">
        <v>29.77</v>
      </c>
      <c r="CY89" s="44">
        <v>77.16</v>
      </c>
      <c r="CZ89" s="44">
        <v>1175.57</v>
      </c>
      <c r="DA89" s="44">
        <v>1078.2</v>
      </c>
      <c r="DB89" s="44">
        <v>570.5</v>
      </c>
      <c r="DC89" s="44">
        <f>814.23+7.01</f>
        <v>821.24</v>
      </c>
      <c r="DD89" s="44">
        <f>2557.66+31.5</f>
        <v>2589.16</v>
      </c>
      <c r="DE89" s="44">
        <f>710.67+246.05</f>
        <v>956.72</v>
      </c>
      <c r="DF89" s="44">
        <f>2211+340.67</f>
        <v>2551.67</v>
      </c>
      <c r="DG89" s="44">
        <v>321</v>
      </c>
      <c r="DH89" s="44">
        <v>534.82000000000005</v>
      </c>
      <c r="DI89" s="44">
        <v>67.5</v>
      </c>
      <c r="DJ89" s="44">
        <v>506.37</v>
      </c>
      <c r="DK89" s="44">
        <f>363.95+36</f>
        <v>399.95</v>
      </c>
      <c r="DL89" s="44">
        <v>18.03</v>
      </c>
      <c r="DM89" s="44">
        <f>5295.16</f>
        <v>5295.16</v>
      </c>
      <c r="DN89" s="44">
        <f>7491.62</f>
        <v>7491.62</v>
      </c>
      <c r="DO89" s="44">
        <f>2597.24</f>
        <v>2597.2399999999998</v>
      </c>
      <c r="DP89" s="44">
        <v>1749.12</v>
      </c>
      <c r="DQ89" s="44">
        <v>6035.89</v>
      </c>
      <c r="DR89" s="44">
        <v>4606</v>
      </c>
      <c r="DS89" s="44">
        <f>1157.77</f>
        <v>1157.77</v>
      </c>
      <c r="DT89" s="44">
        <f>6949.31</f>
        <v>6949.31</v>
      </c>
      <c r="DU89" s="44">
        <f>4190.97</f>
        <v>4190.97</v>
      </c>
      <c r="DV89" s="44">
        <v>1525.88</v>
      </c>
      <c r="DW89" s="44">
        <v>5148.6400000000003</v>
      </c>
      <c r="DX89" s="44">
        <v>1347</v>
      </c>
      <c r="DY89" s="44">
        <v>13195.88</v>
      </c>
      <c r="DZ89" s="44">
        <v>17973.28</v>
      </c>
      <c r="EA89" s="44">
        <v>11432.69</v>
      </c>
      <c r="EB89" s="44">
        <f>8509.86</f>
        <v>8509.86</v>
      </c>
      <c r="EC89" s="44">
        <f>3536.8+35.5</f>
        <v>3572.3</v>
      </c>
      <c r="ED89" s="44">
        <v>2885.53</v>
      </c>
      <c r="EE89" s="44">
        <v>3434.76</v>
      </c>
      <c r="EF89" s="44">
        <v>2766.44</v>
      </c>
      <c r="EG89" s="44">
        <v>1843.33</v>
      </c>
      <c r="EH89" s="44">
        <f>3801.75+45</f>
        <v>3846.75</v>
      </c>
      <c r="EI89" s="44">
        <f>1129.52</f>
        <v>1129.52</v>
      </c>
      <c r="EJ89" s="44">
        <v>2387.98</v>
      </c>
      <c r="EK89" s="44">
        <v>2096.9299999999998</v>
      </c>
      <c r="EL89" s="44">
        <v>1817.46</v>
      </c>
      <c r="EM89" s="44">
        <f>4938.42+13.86</f>
        <v>4952.28</v>
      </c>
      <c r="EN89" s="44">
        <f>1918.6+20</f>
        <v>1938.6</v>
      </c>
      <c r="EO89" s="44">
        <v>5646.5</v>
      </c>
      <c r="EP89" s="44">
        <v>2040.93</v>
      </c>
      <c r="EQ89" s="44">
        <v>2845.85</v>
      </c>
      <c r="ER89" s="44">
        <v>8827.86</v>
      </c>
      <c r="ES89" s="44">
        <v>8226.18</v>
      </c>
      <c r="ET89" s="44">
        <v>9584.33</v>
      </c>
      <c r="EU89" s="44">
        <f>3859.2</f>
        <v>3859.2</v>
      </c>
      <c r="EV89" s="44">
        <v>6413.4</v>
      </c>
      <c r="EW89" s="44">
        <f>8428.85+2.7</f>
        <v>8431.5500000000011</v>
      </c>
      <c r="EX89" s="44">
        <f>15002.27+84.8</f>
        <v>15087.07</v>
      </c>
      <c r="EY89" s="44">
        <f>18193.12+130.4</f>
        <v>18323.52</v>
      </c>
      <c r="EZ89" s="44">
        <f>6044.1</f>
        <v>6044.1</v>
      </c>
      <c r="FA89" s="44">
        <f>5408.26+27.2</f>
        <v>5435.46</v>
      </c>
      <c r="FB89" s="44">
        <f>4803.8+2.2</f>
        <v>4806</v>
      </c>
      <c r="FC89" s="44">
        <f>5891.01+15.3</f>
        <v>5906.31</v>
      </c>
      <c r="FD89" s="44">
        <f>5449.45+34</f>
        <v>5483.45</v>
      </c>
      <c r="FE89" s="44">
        <f>6050.16</f>
        <v>6050.16</v>
      </c>
      <c r="FF89" s="44">
        <v>4793.28</v>
      </c>
      <c r="FG89" s="44">
        <v>3179.46</v>
      </c>
      <c r="FH89" s="44">
        <v>2455.5100000000002</v>
      </c>
      <c r="FI89" s="44">
        <v>6922.14</v>
      </c>
      <c r="FJ89" s="44">
        <v>4788.24</v>
      </c>
      <c r="FK89" s="44">
        <f>1634.88+77.2</f>
        <v>1712.0800000000002</v>
      </c>
      <c r="FL89" s="44">
        <f>4655.12+7.5</f>
        <v>4662.62</v>
      </c>
      <c r="FM89" s="44">
        <f>4160.31+34</f>
        <v>4194.3100000000004</v>
      </c>
      <c r="FN89" s="44">
        <f>4785.03+200</f>
        <v>4985.03</v>
      </c>
      <c r="FO89" s="44">
        <v>4515.74</v>
      </c>
      <c r="FP89" s="44">
        <v>5214.07</v>
      </c>
      <c r="FQ89" s="44">
        <v>11683.78</v>
      </c>
      <c r="FR89" s="44">
        <f>18645.01+100</f>
        <v>18745.009999999998</v>
      </c>
      <c r="FS89" s="44">
        <v>14894.56</v>
      </c>
      <c r="FT89" s="44">
        <f>11449.2+59.5</f>
        <v>11508.7</v>
      </c>
      <c r="FU89" s="44">
        <f>12807.11+36</f>
        <v>12843.11</v>
      </c>
      <c r="FV89" s="44">
        <v>8804.31</v>
      </c>
      <c r="FW89" s="44">
        <v>9823.68</v>
      </c>
      <c r="FX89" s="44">
        <f>9137.33</f>
        <v>9137.33</v>
      </c>
      <c r="FY89" s="44">
        <f>6431.19</f>
        <v>6431.19</v>
      </c>
      <c r="FZ89" s="44">
        <v>5673.07</v>
      </c>
      <c r="GA89" s="44">
        <v>14240.62</v>
      </c>
      <c r="GB89" s="44">
        <f>14336.68</f>
        <v>14336.68</v>
      </c>
      <c r="GC89" s="44">
        <v>11840.08</v>
      </c>
      <c r="GD89" s="44">
        <v>5419.56</v>
      </c>
      <c r="GE89" s="44">
        <f>4219.64</f>
        <v>4219.6400000000003</v>
      </c>
      <c r="GF89" s="44">
        <v>7189.75</v>
      </c>
      <c r="GG89" s="44">
        <v>6280.48</v>
      </c>
      <c r="GH89" s="44">
        <v>8918.14</v>
      </c>
      <c r="GI89" s="44">
        <v>14163.28</v>
      </c>
      <c r="GJ89" s="44">
        <v>10790.1</v>
      </c>
      <c r="GK89" s="44">
        <v>10319.450000000001</v>
      </c>
      <c r="GL89" s="44">
        <v>7661.57</v>
      </c>
      <c r="GM89" s="44">
        <v>7752.77</v>
      </c>
      <c r="GN89" s="44">
        <v>3872.91</v>
      </c>
      <c r="GO89" s="44">
        <v>3521.9</v>
      </c>
      <c r="GP89" s="44">
        <v>10208.58</v>
      </c>
      <c r="GQ89" s="44">
        <v>11280.19</v>
      </c>
      <c r="GR89" s="44">
        <v>10281.36</v>
      </c>
      <c r="GS89" s="44">
        <v>8418.64</v>
      </c>
      <c r="GT89" s="44">
        <v>3135.08</v>
      </c>
      <c r="GU89" s="44">
        <f>5728.31</f>
        <v>5728.31</v>
      </c>
      <c r="GV89" s="44">
        <f>4387.75</f>
        <v>4387.75</v>
      </c>
      <c r="GW89" s="44">
        <v>10244.83</v>
      </c>
      <c r="GX89" s="44">
        <v>5001.71</v>
      </c>
      <c r="GY89" s="44">
        <v>6529.75</v>
      </c>
      <c r="GZ89" s="44">
        <v>7661.5</v>
      </c>
      <c r="HA89" s="44">
        <v>5474.66</v>
      </c>
      <c r="HB89" s="44">
        <v>4508.7</v>
      </c>
      <c r="HC89" s="44">
        <f>5518.98</f>
        <v>5518.98</v>
      </c>
      <c r="HD89" s="44">
        <f>5089.13</f>
        <v>5089.13</v>
      </c>
      <c r="HE89" s="44">
        <v>11891.51</v>
      </c>
      <c r="HF89" s="44">
        <v>15365.11</v>
      </c>
      <c r="HG89" s="44">
        <v>11997.83</v>
      </c>
      <c r="HH89" s="44">
        <f>10451.32</f>
        <v>10451.32</v>
      </c>
      <c r="HI89" s="44">
        <f>8788.25</f>
        <v>8788.25</v>
      </c>
      <c r="HJ89" s="44">
        <f>9305</f>
        <v>9305</v>
      </c>
      <c r="HK89" s="44">
        <f>3330.81+156.6</f>
        <v>3487.41</v>
      </c>
      <c r="HL89" s="44">
        <f>3800.07+176.91</f>
        <v>3976.98</v>
      </c>
      <c r="HM89" s="44">
        <f>3979.69+48</f>
        <v>4027.69</v>
      </c>
      <c r="HN89" s="44">
        <f>5505.69+9</f>
        <v>5514.69</v>
      </c>
      <c r="HO89" s="44">
        <v>5248.1229999999996</v>
      </c>
      <c r="HP89" s="44">
        <v>8417.5589999999993</v>
      </c>
      <c r="HQ89" s="44">
        <v>8836.6890000000003</v>
      </c>
      <c r="HR89" s="44">
        <v>11160.285</v>
      </c>
      <c r="HS89" s="44">
        <v>16287.964</v>
      </c>
      <c r="HT89" s="44">
        <v>16916.25</v>
      </c>
      <c r="HU89" s="44">
        <v>18730.316999999999</v>
      </c>
      <c r="HV89" s="44">
        <v>15354.509</v>
      </c>
      <c r="HW89" s="44">
        <v>13553.444</v>
      </c>
      <c r="HX89" s="44">
        <v>7122.17</v>
      </c>
      <c r="HY89" s="44">
        <v>7537.48</v>
      </c>
      <c r="HZ89" s="44">
        <f>15745.29</f>
        <v>15745.29</v>
      </c>
      <c r="IA89" s="44">
        <f>11521.67</f>
        <v>11521.67</v>
      </c>
      <c r="IB89" s="44">
        <v>8622.6299999999992</v>
      </c>
      <c r="IC89" s="44">
        <v>6371.43</v>
      </c>
      <c r="ID89" s="44">
        <v>7348.92</v>
      </c>
      <c r="IE89" s="44">
        <v>6408.31</v>
      </c>
      <c r="IF89" s="44">
        <f>4958.9</f>
        <v>4958.8999999999996</v>
      </c>
      <c r="IG89" s="44">
        <f>6869.8</f>
        <v>6869.8</v>
      </c>
      <c r="IH89" s="44">
        <f>4114.04</f>
        <v>4114.04</v>
      </c>
      <c r="II89" s="44">
        <v>8878.24</v>
      </c>
      <c r="IJ89" s="44">
        <v>19668.669999999998</v>
      </c>
      <c r="IK89" s="43">
        <v>12600.72</v>
      </c>
      <c r="IL89" s="43">
        <v>8694.68</v>
      </c>
      <c r="IM89" s="43">
        <v>4818.33</v>
      </c>
      <c r="IN89" s="43">
        <v>2878.45</v>
      </c>
      <c r="IO89" s="43">
        <v>6173.7879999999996</v>
      </c>
      <c r="IP89" s="43">
        <v>12644.531000000001</v>
      </c>
      <c r="IQ89" s="43">
        <v>22192.233</v>
      </c>
      <c r="IR89" s="43">
        <v>12709.15</v>
      </c>
      <c r="IS89" s="45">
        <v>15319.074000000001</v>
      </c>
      <c r="IT89" s="45">
        <v>14991.61</v>
      </c>
      <c r="IU89" s="45">
        <v>8732.2199999999993</v>
      </c>
      <c r="IV89" s="45">
        <v>16600.27</v>
      </c>
      <c r="IW89" s="45">
        <v>27866.18</v>
      </c>
      <c r="IX89" s="45">
        <v>24430.98</v>
      </c>
      <c r="IY89" s="45">
        <v>34492.410000000003</v>
      </c>
      <c r="IZ89" s="45">
        <v>14002.92</v>
      </c>
      <c r="JA89" s="45">
        <v>23014.87</v>
      </c>
      <c r="JB89" s="45">
        <v>18212.48</v>
      </c>
      <c r="JC89" s="45">
        <v>9357.73</v>
      </c>
      <c r="JD89" s="45">
        <v>8254.8700000000008</v>
      </c>
      <c r="JE89" s="45">
        <v>13191.53</v>
      </c>
      <c r="JF89" s="45">
        <v>11593.32</v>
      </c>
      <c r="JG89" s="45">
        <v>9712.98</v>
      </c>
      <c r="JH89" s="45">
        <v>18321.650000000001</v>
      </c>
      <c r="JI89" s="45">
        <v>13807.68</v>
      </c>
      <c r="JJ89" s="45">
        <v>8233.67</v>
      </c>
      <c r="JK89" s="45">
        <v>2660.98</v>
      </c>
      <c r="JL89" s="45">
        <v>7170.59</v>
      </c>
      <c r="JM89" s="45">
        <v>8226.84</v>
      </c>
      <c r="JN89" s="45">
        <v>9836.24</v>
      </c>
      <c r="JO89" s="45">
        <v>9477.26</v>
      </c>
      <c r="JP89" s="45">
        <v>9515.4500000000007</v>
      </c>
      <c r="JQ89" s="45">
        <v>8514.65</v>
      </c>
      <c r="JR89" s="45">
        <v>10642.94</v>
      </c>
      <c r="JS89" s="44">
        <v>11828.51</v>
      </c>
      <c r="JT89" s="44">
        <v>18138.73</v>
      </c>
      <c r="JU89" s="44">
        <v>15366.308000000001</v>
      </c>
      <c r="JV89" s="44">
        <v>16655.04</v>
      </c>
      <c r="JW89" s="44">
        <v>14954.536</v>
      </c>
      <c r="JX89" s="44">
        <v>8632.3289999999997</v>
      </c>
      <c r="JY89" s="44">
        <v>9824.7810000000009</v>
      </c>
      <c r="JZ89" s="44">
        <v>10517.583000000001</v>
      </c>
      <c r="KA89" s="44">
        <v>9009.17</v>
      </c>
      <c r="KB89" s="44">
        <v>22136.21</v>
      </c>
      <c r="KC89" s="44">
        <v>34804.18</v>
      </c>
      <c r="KD89" s="44">
        <v>36806.997000000003</v>
      </c>
      <c r="KE89" s="44">
        <v>19689.11</v>
      </c>
      <c r="KF89" s="44">
        <v>35600.266000000003</v>
      </c>
      <c r="KG89" s="44">
        <v>28347.968000000001</v>
      </c>
      <c r="KH89" s="44">
        <v>28720.27</v>
      </c>
      <c r="KI89" s="44">
        <v>29687.718000000001</v>
      </c>
      <c r="KJ89" s="44">
        <v>25517.701000000001</v>
      </c>
      <c r="KK89" s="44">
        <v>13544.628000000001</v>
      </c>
      <c r="KL89" s="44">
        <v>45760.677000000003</v>
      </c>
      <c r="KM89" s="44">
        <v>17590.566999999999</v>
      </c>
      <c r="KN89" s="44">
        <v>11990.790999999999</v>
      </c>
      <c r="KO89" s="44">
        <v>23605.759999999998</v>
      </c>
      <c r="KP89" s="44">
        <v>28856.026000000002</v>
      </c>
      <c r="KQ89" s="44">
        <v>21801.21</v>
      </c>
      <c r="KR89" s="44">
        <v>24108.003000000001</v>
      </c>
      <c r="KS89" s="44">
        <v>18874.14</v>
      </c>
      <c r="KT89" s="44">
        <v>24475.735000000001</v>
      </c>
      <c r="KU89" s="44">
        <v>16957.11</v>
      </c>
      <c r="KV89" s="44">
        <v>15549.709000000001</v>
      </c>
      <c r="KW89" s="44">
        <v>17247.043000000001</v>
      </c>
      <c r="KX89" s="44">
        <v>31402.875</v>
      </c>
      <c r="KY89" s="44">
        <v>22359.165000000001</v>
      </c>
      <c r="KZ89" s="44">
        <v>13239.76</v>
      </c>
      <c r="LA89" s="44">
        <v>53931.245000000003</v>
      </c>
      <c r="LB89" s="44">
        <v>36124.071000000004</v>
      </c>
      <c r="LC89" s="44">
        <v>53370.324999999997</v>
      </c>
      <c r="LD89" s="44">
        <v>35380.135000000002</v>
      </c>
      <c r="LE89" s="44">
        <v>19270.287</v>
      </c>
      <c r="LF89" s="44">
        <v>23614.182000000001</v>
      </c>
      <c r="LG89" s="44">
        <v>36298.285000000003</v>
      </c>
      <c r="LH89" s="44">
        <v>42126.167000000001</v>
      </c>
      <c r="LI89" s="44">
        <v>41785.324000000001</v>
      </c>
      <c r="LJ89" s="44">
        <v>22870.449000000001</v>
      </c>
      <c r="LK89" s="44">
        <v>19815.547999999999</v>
      </c>
      <c r="LL89" s="44">
        <v>8892.2950000000001</v>
      </c>
      <c r="LM89" s="44">
        <v>73160.775999999998</v>
      </c>
      <c r="LN89" s="44">
        <v>55407.392999999996</v>
      </c>
      <c r="LO89" s="44">
        <v>46417.928999999996</v>
      </c>
      <c r="LP89" s="44">
        <v>43365.142</v>
      </c>
      <c r="LQ89" s="44">
        <v>21656.882000000001</v>
      </c>
      <c r="LR89" s="44">
        <v>20243.187999999998</v>
      </c>
      <c r="LS89" s="44">
        <v>12886.529</v>
      </c>
      <c r="LT89" s="44">
        <v>15022.445</v>
      </c>
      <c r="LU89" s="43"/>
      <c r="LV89" s="43"/>
      <c r="LW89" s="43"/>
      <c r="LX89" s="43"/>
    </row>
    <row r="90" spans="1:336" s="29" customFormat="1" x14ac:dyDescent="0.3">
      <c r="A90" s="33" t="s">
        <v>94</v>
      </c>
      <c r="B90" s="46" t="s">
        <v>89</v>
      </c>
      <c r="C90" s="43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  <c r="BG90" s="44"/>
      <c r="BH90" s="44"/>
      <c r="BI90" s="44"/>
      <c r="BJ90" s="44"/>
      <c r="BK90" s="44"/>
      <c r="BL90" s="44"/>
      <c r="BM90" s="44"/>
      <c r="BN90" s="44"/>
      <c r="BO90" s="44"/>
      <c r="BP90" s="44"/>
      <c r="BQ90" s="44"/>
      <c r="BR90" s="44"/>
      <c r="BS90" s="44"/>
      <c r="BT90" s="44"/>
      <c r="BU90" s="44"/>
      <c r="BV90" s="44"/>
      <c r="BW90" s="44"/>
      <c r="BX90" s="44"/>
      <c r="BY90" s="44"/>
      <c r="BZ90" s="44"/>
      <c r="CA90" s="44"/>
      <c r="CB90" s="44"/>
      <c r="CC90" s="44"/>
      <c r="CD90" s="44"/>
      <c r="CE90" s="44"/>
      <c r="CF90" s="44"/>
      <c r="CG90" s="44"/>
      <c r="CH90" s="44"/>
      <c r="CI90" s="44"/>
      <c r="CJ90" s="44"/>
      <c r="CK90" s="44"/>
      <c r="CL90" s="44"/>
      <c r="CM90" s="44"/>
      <c r="CN90" s="44"/>
      <c r="CO90" s="44">
        <v>53</v>
      </c>
      <c r="CP90" s="44">
        <v>199.97</v>
      </c>
      <c r="CQ90" s="44">
        <v>142.69999999999999</v>
      </c>
      <c r="CR90" s="44">
        <v>0</v>
      </c>
      <c r="CS90" s="44">
        <v>1.05</v>
      </c>
      <c r="CT90" s="44">
        <v>1535.05</v>
      </c>
      <c r="CU90" s="44">
        <v>47.18</v>
      </c>
      <c r="CV90" s="44">
        <v>0</v>
      </c>
      <c r="CW90" s="44">
        <v>0</v>
      </c>
      <c r="CX90" s="44">
        <v>0</v>
      </c>
      <c r="CY90" s="44">
        <v>0</v>
      </c>
      <c r="CZ90" s="44">
        <v>0</v>
      </c>
      <c r="DA90" s="44"/>
      <c r="DB90" s="44"/>
      <c r="DC90" s="44"/>
      <c r="DD90" s="44"/>
      <c r="DE90" s="44"/>
      <c r="DF90" s="44"/>
      <c r="DG90" s="44"/>
      <c r="DH90" s="44"/>
      <c r="DI90" s="44"/>
      <c r="DJ90" s="44"/>
      <c r="DK90" s="44"/>
      <c r="DL90" s="44"/>
      <c r="DM90" s="44">
        <v>328.24</v>
      </c>
      <c r="DN90" s="44">
        <v>202.14</v>
      </c>
      <c r="DO90" s="44">
        <v>5.8</v>
      </c>
      <c r="DP90" s="44">
        <v>0</v>
      </c>
      <c r="DQ90" s="44">
        <v>0</v>
      </c>
      <c r="DR90" s="44">
        <v>0</v>
      </c>
      <c r="DS90" s="44">
        <v>7.19</v>
      </c>
      <c r="DT90" s="44">
        <v>88</v>
      </c>
      <c r="DU90" s="44">
        <v>0.1</v>
      </c>
      <c r="DV90" s="44">
        <v>0</v>
      </c>
      <c r="DW90" s="44">
        <v>0</v>
      </c>
      <c r="DX90" s="44">
        <v>0</v>
      </c>
      <c r="DY90" s="44"/>
      <c r="DZ90" s="44"/>
      <c r="EA90" s="44"/>
      <c r="EB90" s="44"/>
      <c r="EC90" s="44"/>
      <c r="ED90" s="44"/>
      <c r="EE90" s="44"/>
      <c r="EF90" s="44"/>
      <c r="EG90" s="44"/>
      <c r="EH90" s="44"/>
      <c r="EI90" s="44"/>
      <c r="EJ90" s="44"/>
      <c r="EK90" s="44"/>
      <c r="EL90" s="44"/>
      <c r="EM90" s="44"/>
      <c r="EN90" s="44"/>
      <c r="EO90" s="44"/>
      <c r="EP90" s="44"/>
      <c r="EQ90" s="44"/>
      <c r="ER90" s="44"/>
      <c r="ES90" s="44"/>
      <c r="ET90" s="44"/>
      <c r="EU90" s="44"/>
      <c r="EV90" s="44"/>
      <c r="EW90" s="44"/>
      <c r="EX90" s="44"/>
      <c r="EY90" s="44"/>
      <c r="EZ90" s="44"/>
      <c r="FA90" s="44"/>
      <c r="FB90" s="44"/>
      <c r="FC90" s="44"/>
      <c r="FD90" s="44"/>
      <c r="FE90" s="44"/>
      <c r="FF90" s="44"/>
      <c r="FG90" s="44"/>
      <c r="FH90" s="44"/>
      <c r="FI90" s="44"/>
      <c r="FJ90" s="44"/>
      <c r="FK90" s="44"/>
      <c r="FL90" s="44"/>
      <c r="FM90" s="44"/>
      <c r="FN90" s="44"/>
      <c r="FO90" s="44"/>
      <c r="FP90" s="44"/>
      <c r="FQ90" s="44"/>
      <c r="FR90" s="44"/>
      <c r="FS90" s="44"/>
      <c r="FT90" s="44">
        <v>29.5</v>
      </c>
      <c r="FU90" s="44">
        <v>36</v>
      </c>
      <c r="FV90" s="44">
        <v>0</v>
      </c>
      <c r="FW90" s="44">
        <v>0</v>
      </c>
      <c r="FX90" s="44">
        <v>119.42</v>
      </c>
      <c r="FY90" s="44">
        <v>74.5</v>
      </c>
      <c r="FZ90" s="44">
        <v>0</v>
      </c>
      <c r="GA90" s="44">
        <v>0</v>
      </c>
      <c r="GB90" s="44">
        <v>54</v>
      </c>
      <c r="GC90" s="44"/>
      <c r="GD90" s="44">
        <v>0</v>
      </c>
      <c r="GE90" s="44">
        <v>2.98</v>
      </c>
      <c r="GF90" s="44">
        <v>0</v>
      </c>
      <c r="GG90" s="44">
        <v>0</v>
      </c>
      <c r="GH90" s="44">
        <v>0</v>
      </c>
      <c r="GI90" s="44">
        <v>0</v>
      </c>
      <c r="GJ90" s="44">
        <v>0</v>
      </c>
      <c r="GK90" s="44">
        <v>6.8</v>
      </c>
      <c r="GL90" s="44" t="s">
        <v>95</v>
      </c>
      <c r="GM90" s="44">
        <v>7.5</v>
      </c>
      <c r="GN90" s="44">
        <v>57</v>
      </c>
      <c r="GO90" s="44">
        <v>0</v>
      </c>
      <c r="GP90" s="44">
        <v>45</v>
      </c>
      <c r="GQ90" s="44">
        <v>0</v>
      </c>
      <c r="GR90" s="44">
        <v>18</v>
      </c>
      <c r="GS90" s="44">
        <v>0</v>
      </c>
      <c r="GT90" s="44">
        <v>30</v>
      </c>
      <c r="GU90" s="44">
        <v>91.85</v>
      </c>
      <c r="GV90" s="44">
        <v>1880.21</v>
      </c>
      <c r="GW90" s="44">
        <v>986.63</v>
      </c>
      <c r="GX90" s="44">
        <v>2696.88</v>
      </c>
      <c r="GY90" s="44">
        <v>1787.67</v>
      </c>
      <c r="GZ90" s="44">
        <v>1291.98</v>
      </c>
      <c r="HA90" s="44">
        <v>1796.9</v>
      </c>
      <c r="HB90" s="44">
        <v>689.39</v>
      </c>
      <c r="HC90" s="44">
        <v>2068.1</v>
      </c>
      <c r="HD90" s="44">
        <v>1163.43</v>
      </c>
      <c r="HE90" s="44">
        <v>4498.08</v>
      </c>
      <c r="HF90" s="44">
        <v>2560.5700000000002</v>
      </c>
      <c r="HG90" s="44">
        <v>2254.06</v>
      </c>
      <c r="HH90" s="44">
        <v>693.36</v>
      </c>
      <c r="HI90" s="44">
        <v>12</v>
      </c>
      <c r="HJ90" s="44">
        <v>702.28</v>
      </c>
      <c r="HK90" s="44">
        <v>156.60400000000001</v>
      </c>
      <c r="HL90" s="44">
        <v>176.905</v>
      </c>
      <c r="HM90" s="44">
        <v>48</v>
      </c>
      <c r="HN90" s="44">
        <v>9</v>
      </c>
      <c r="HO90" s="44">
        <v>0</v>
      </c>
      <c r="HP90" s="44">
        <v>174.9</v>
      </c>
      <c r="HQ90" s="44">
        <v>123</v>
      </c>
      <c r="HR90" s="44">
        <v>813.73099999999999</v>
      </c>
      <c r="HS90" s="44">
        <v>1249.914</v>
      </c>
      <c r="HT90" s="44">
        <v>539.35199999999998</v>
      </c>
      <c r="HU90" s="44">
        <v>727.61300000000006</v>
      </c>
      <c r="HV90" s="44">
        <v>1182.212</v>
      </c>
      <c r="HW90" s="44">
        <v>494.25</v>
      </c>
      <c r="HX90" s="44">
        <v>67</v>
      </c>
      <c r="HY90" s="44">
        <v>0</v>
      </c>
      <c r="HZ90" s="44">
        <v>74</v>
      </c>
      <c r="IA90" s="44">
        <v>41.5</v>
      </c>
      <c r="IB90" s="44">
        <f>94</f>
        <v>94</v>
      </c>
      <c r="IC90" s="44">
        <f>245</f>
        <v>245</v>
      </c>
      <c r="ID90" s="44">
        <f>203.25</f>
        <v>203.25</v>
      </c>
      <c r="IE90" s="44">
        <v>113.6</v>
      </c>
      <c r="IF90" s="44">
        <v>1.9</v>
      </c>
      <c r="IG90" s="44">
        <v>0.1</v>
      </c>
      <c r="IH90" s="44">
        <v>150.69999999999999</v>
      </c>
      <c r="II90" s="44">
        <v>100.7</v>
      </c>
      <c r="IJ90" s="44">
        <v>39.9</v>
      </c>
      <c r="IK90" s="43">
        <v>87</v>
      </c>
      <c r="IL90" s="43">
        <v>49</v>
      </c>
      <c r="IM90" s="43">
        <v>8</v>
      </c>
      <c r="IN90" s="43">
        <v>0</v>
      </c>
      <c r="IO90" s="43">
        <v>2230.13</v>
      </c>
      <c r="IP90" s="43">
        <v>1657.3689999999999</v>
      </c>
      <c r="IQ90" s="43">
        <v>5471.2139999999999</v>
      </c>
      <c r="IR90" s="45">
        <v>553.22</v>
      </c>
      <c r="IS90" s="45">
        <v>2763.0909999999999</v>
      </c>
      <c r="IT90" s="45">
        <v>909.86</v>
      </c>
      <c r="IU90" s="45">
        <v>0</v>
      </c>
      <c r="IV90" s="45">
        <v>0</v>
      </c>
      <c r="IW90" s="45">
        <v>11.02</v>
      </c>
      <c r="IX90" s="45">
        <v>0</v>
      </c>
      <c r="IY90" s="45">
        <v>0</v>
      </c>
      <c r="IZ90" s="45">
        <v>0</v>
      </c>
      <c r="JA90" s="45">
        <v>6062.78</v>
      </c>
      <c r="JB90" s="45">
        <v>15642.24</v>
      </c>
      <c r="JC90" s="45">
        <v>5293.88</v>
      </c>
      <c r="JD90" s="45">
        <v>10208.56</v>
      </c>
      <c r="JE90" s="45">
        <v>5163.45</v>
      </c>
      <c r="JF90" s="45">
        <v>978.04</v>
      </c>
      <c r="JG90" s="45">
        <v>258.02999999999997</v>
      </c>
      <c r="JH90" s="45">
        <v>0</v>
      </c>
      <c r="JI90" s="45">
        <v>4488.1000000000004</v>
      </c>
      <c r="JJ90" s="45">
        <v>77.400000000000006</v>
      </c>
      <c r="JK90" s="45">
        <v>2812.61</v>
      </c>
      <c r="JL90" s="45">
        <v>3774.4</v>
      </c>
      <c r="JM90" s="45">
        <v>1696.38</v>
      </c>
      <c r="JN90" s="45">
        <v>13744.7</v>
      </c>
      <c r="JO90" s="45">
        <v>7781.9</v>
      </c>
      <c r="JP90" s="45">
        <v>7202.06</v>
      </c>
      <c r="JQ90" s="45">
        <v>11748.16</v>
      </c>
      <c r="JR90" s="45">
        <v>601.15</v>
      </c>
      <c r="JS90" s="45">
        <v>2325.4499999999998</v>
      </c>
      <c r="JT90" s="45">
        <v>460.9</v>
      </c>
      <c r="JU90" s="45">
        <v>4370.6170000000002</v>
      </c>
      <c r="JV90" s="45">
        <v>1955.08</v>
      </c>
      <c r="JW90" s="45">
        <v>2850.5540000000001</v>
      </c>
      <c r="JX90" s="45">
        <v>5559.1580000000004</v>
      </c>
      <c r="JY90" s="45">
        <v>10838.609</v>
      </c>
      <c r="JZ90" s="45">
        <v>8494.384</v>
      </c>
      <c r="KA90" s="45">
        <v>13879.713</v>
      </c>
      <c r="KB90" s="45">
        <v>8234.1</v>
      </c>
      <c r="KC90" s="45">
        <v>3660.6089999999999</v>
      </c>
      <c r="KD90" s="45">
        <v>3166.65</v>
      </c>
      <c r="KE90" s="45">
        <v>1231.1500000000001</v>
      </c>
      <c r="KF90" s="45">
        <v>3294.9319999999998</v>
      </c>
      <c r="KG90" s="45">
        <v>5289.4219999999996</v>
      </c>
      <c r="KH90" s="45">
        <v>2180.4340000000002</v>
      </c>
      <c r="KI90" s="45">
        <v>869.125</v>
      </c>
      <c r="KJ90" s="45">
        <v>1386.02</v>
      </c>
      <c r="KK90" s="45">
        <v>6139.2</v>
      </c>
      <c r="KL90" s="45">
        <v>10911.69</v>
      </c>
      <c r="KM90" s="45">
        <v>5538.7749999999996</v>
      </c>
      <c r="KN90" s="45">
        <v>16231.5</v>
      </c>
      <c r="KO90" s="45">
        <v>10834.181</v>
      </c>
      <c r="KP90" s="45">
        <v>5372.73</v>
      </c>
      <c r="KQ90" s="45">
        <v>874.84</v>
      </c>
      <c r="KR90" s="45">
        <v>621.6</v>
      </c>
      <c r="KS90" s="45">
        <v>3055.61</v>
      </c>
      <c r="KT90" s="45">
        <v>2308.23</v>
      </c>
      <c r="KU90" s="45">
        <v>11366.9</v>
      </c>
      <c r="KV90" s="45">
        <v>10035.15</v>
      </c>
      <c r="KW90" s="45">
        <v>14063.4</v>
      </c>
      <c r="KX90" s="45">
        <v>13610.35</v>
      </c>
      <c r="KY90" s="45">
        <v>11844.218000000001</v>
      </c>
      <c r="KZ90" s="45">
        <v>6053.1570000000002</v>
      </c>
      <c r="LA90" s="45">
        <v>5149.67</v>
      </c>
      <c r="LB90" s="45">
        <v>1826.625</v>
      </c>
      <c r="LC90" s="45">
        <v>3715.49</v>
      </c>
      <c r="LD90" s="45">
        <v>2712.25</v>
      </c>
      <c r="LE90" s="45">
        <v>1867.27</v>
      </c>
      <c r="LF90" s="45">
        <v>1848.94</v>
      </c>
      <c r="LG90" s="45">
        <v>7583.973</v>
      </c>
      <c r="LH90" s="45">
        <v>7715.45</v>
      </c>
      <c r="LI90" s="45">
        <v>11720.45</v>
      </c>
      <c r="LJ90" s="45">
        <v>10268.517</v>
      </c>
      <c r="LK90" s="45">
        <v>15581.9</v>
      </c>
      <c r="LL90" s="45">
        <v>4082.26</v>
      </c>
      <c r="LM90" s="45">
        <v>7153.25</v>
      </c>
      <c r="LN90" s="45">
        <v>9295.69</v>
      </c>
      <c r="LO90" s="45">
        <v>5315.3010000000004</v>
      </c>
      <c r="LP90" s="45">
        <v>2407.5</v>
      </c>
      <c r="LQ90" s="45">
        <v>3808.81</v>
      </c>
      <c r="LR90" s="45">
        <v>5746.21</v>
      </c>
      <c r="LS90" s="45">
        <v>6208.8149999999996</v>
      </c>
      <c r="LT90" s="45">
        <v>12192.85</v>
      </c>
      <c r="LU90" s="43"/>
      <c r="LV90" s="43"/>
      <c r="LW90" s="43"/>
      <c r="LX90" s="43"/>
    </row>
    <row r="91" spans="1:336" s="29" customFormat="1" x14ac:dyDescent="0.3">
      <c r="A91" s="33" t="s">
        <v>154</v>
      </c>
      <c r="B91" s="46" t="s">
        <v>89</v>
      </c>
      <c r="C91" s="43">
        <v>32</v>
      </c>
      <c r="D91" s="44">
        <v>163.74</v>
      </c>
      <c r="E91" s="44">
        <v>71.86</v>
      </c>
      <c r="F91" s="44">
        <v>315.60000000000002</v>
      </c>
      <c r="G91" s="44">
        <v>272.89999999999998</v>
      </c>
      <c r="H91" s="44">
        <v>351.66</v>
      </c>
      <c r="I91" s="44">
        <v>149.69999999999999</v>
      </c>
      <c r="J91" s="44">
        <v>96.8</v>
      </c>
      <c r="K91" s="44">
        <v>123.3</v>
      </c>
      <c r="L91" s="44">
        <v>261.5</v>
      </c>
      <c r="M91" s="44">
        <v>123.7</v>
      </c>
      <c r="N91" s="44">
        <v>106.6</v>
      </c>
      <c r="O91" s="44">
        <v>234.4</v>
      </c>
      <c r="P91" s="44">
        <v>343.1</v>
      </c>
      <c r="Q91" s="44">
        <v>106.8</v>
      </c>
      <c r="R91" s="44">
        <v>264.18</v>
      </c>
      <c r="S91" s="44" t="s">
        <v>86</v>
      </c>
      <c r="T91" s="44">
        <v>119.01</v>
      </c>
      <c r="U91" s="44">
        <v>191.2</v>
      </c>
      <c r="V91" s="44">
        <v>101.9</v>
      </c>
      <c r="W91" s="44">
        <v>258.60000000000002</v>
      </c>
      <c r="X91" s="44">
        <v>268</v>
      </c>
      <c r="Y91" s="44">
        <v>288.5</v>
      </c>
      <c r="Z91" s="44">
        <v>219.5</v>
      </c>
      <c r="AA91" s="44">
        <v>356.6</v>
      </c>
      <c r="AB91" s="44">
        <v>414.5</v>
      </c>
      <c r="AC91" s="44">
        <v>402</v>
      </c>
      <c r="AD91" s="44">
        <v>569.58000000000004</v>
      </c>
      <c r="AE91" s="44">
        <v>672.68</v>
      </c>
      <c r="AF91" s="44">
        <v>699.12</v>
      </c>
      <c r="AG91" s="44">
        <v>618.66</v>
      </c>
      <c r="AH91" s="44">
        <v>425.88</v>
      </c>
      <c r="AI91" s="44">
        <v>684.47</v>
      </c>
      <c r="AJ91" s="44">
        <v>651.58000000000004</v>
      </c>
      <c r="AK91" s="44">
        <v>226.2</v>
      </c>
      <c r="AL91" s="44">
        <v>456.73</v>
      </c>
      <c r="AM91" s="44">
        <v>375.34</v>
      </c>
      <c r="AN91" s="44">
        <v>455.88</v>
      </c>
      <c r="AO91" s="44">
        <v>510.83</v>
      </c>
      <c r="AP91" s="44">
        <v>885.08</v>
      </c>
      <c r="AQ91" s="44">
        <v>812.19</v>
      </c>
      <c r="AR91" s="44">
        <v>558.5</v>
      </c>
      <c r="AS91" s="44">
        <v>539.32000000000005</v>
      </c>
      <c r="AT91" s="44">
        <v>421.75</v>
      </c>
      <c r="AU91" s="44">
        <v>1814.18</v>
      </c>
      <c r="AV91" s="44">
        <v>487.03</v>
      </c>
      <c r="AW91" s="44">
        <v>650.21</v>
      </c>
      <c r="AX91" s="44">
        <v>1157.8599999999999</v>
      </c>
      <c r="AY91" s="44">
        <v>2169.2800000000002</v>
      </c>
      <c r="AZ91" s="44">
        <v>716.04</v>
      </c>
      <c r="BA91" s="44">
        <v>1356.42</v>
      </c>
      <c r="BB91" s="44">
        <v>1110.81</v>
      </c>
      <c r="BC91" s="44">
        <v>1218.8599999999999</v>
      </c>
      <c r="BD91" s="44">
        <v>742.39</v>
      </c>
      <c r="BE91" s="44">
        <v>1029.76</v>
      </c>
      <c r="BF91" s="44">
        <v>1174.4100000000001</v>
      </c>
      <c r="BG91" s="44">
        <v>1254.48</v>
      </c>
      <c r="BH91" s="44">
        <v>1122.79</v>
      </c>
      <c r="BI91" s="44">
        <v>476.43</v>
      </c>
      <c r="BJ91" s="44">
        <v>638.55999999999995</v>
      </c>
      <c r="BK91" s="44">
        <v>918.97</v>
      </c>
      <c r="BL91" s="44">
        <v>1006.65</v>
      </c>
      <c r="BM91" s="44" t="s">
        <v>86</v>
      </c>
      <c r="BN91" s="44" t="s">
        <v>86</v>
      </c>
      <c r="BO91" s="44">
        <v>2214.0700000000002</v>
      </c>
      <c r="BP91" s="44">
        <v>939.78</v>
      </c>
      <c r="BQ91" s="44">
        <v>1364.92</v>
      </c>
      <c r="BR91" s="44">
        <v>506.1</v>
      </c>
      <c r="BS91" s="44">
        <v>541.04</v>
      </c>
      <c r="BT91" s="44">
        <v>471.3</v>
      </c>
      <c r="BU91" s="44">
        <v>737.19</v>
      </c>
      <c r="BV91" s="44">
        <v>554.70000000000005</v>
      </c>
      <c r="BW91" s="44">
        <v>621.74</v>
      </c>
      <c r="BX91" s="44">
        <v>677.06</v>
      </c>
      <c r="BY91" s="44">
        <v>844.49</v>
      </c>
      <c r="BZ91" s="44">
        <v>911.37</v>
      </c>
      <c r="CA91" s="44">
        <v>1762.6706999999999</v>
      </c>
      <c r="CB91" s="44">
        <v>1435.059</v>
      </c>
      <c r="CC91" s="44">
        <v>623.24</v>
      </c>
      <c r="CD91" s="44">
        <v>585.47</v>
      </c>
      <c r="CE91" s="44">
        <v>812.88</v>
      </c>
      <c r="CF91" s="44">
        <v>229.21</v>
      </c>
      <c r="CG91" s="44">
        <v>659.03</v>
      </c>
      <c r="CH91" s="44">
        <v>718.69</v>
      </c>
      <c r="CI91" s="44">
        <v>1844.14</v>
      </c>
      <c r="CJ91" s="44">
        <v>1609.09</v>
      </c>
      <c r="CK91" s="44">
        <v>904.47</v>
      </c>
      <c r="CL91" s="44">
        <v>1301.27</v>
      </c>
      <c r="CM91" s="44">
        <v>2509.59</v>
      </c>
      <c r="CN91" s="44">
        <v>1874.64</v>
      </c>
      <c r="CO91" s="44">
        <v>1377.9</v>
      </c>
      <c r="CP91" s="44">
        <v>1232.99</v>
      </c>
      <c r="CQ91" s="44">
        <v>1448.15</v>
      </c>
      <c r="CR91" s="44">
        <v>811.97</v>
      </c>
      <c r="CS91" s="44">
        <v>848.38</v>
      </c>
      <c r="CT91" s="44">
        <v>529.01</v>
      </c>
      <c r="CU91" s="44">
        <v>640.57000000000005</v>
      </c>
      <c r="CV91" s="44">
        <v>222.49</v>
      </c>
      <c r="CW91" s="44">
        <v>409.17</v>
      </c>
      <c r="CX91" s="44">
        <v>846.31</v>
      </c>
      <c r="CY91" s="44">
        <v>806.05</v>
      </c>
      <c r="CZ91" s="44">
        <v>711.47</v>
      </c>
      <c r="DA91" s="44">
        <v>701.23</v>
      </c>
      <c r="DB91" s="44">
        <v>785.05</v>
      </c>
      <c r="DC91" s="44">
        <v>517.49</v>
      </c>
      <c r="DD91" s="44">
        <v>870.39</v>
      </c>
      <c r="DE91" s="44">
        <v>919.59</v>
      </c>
      <c r="DF91" s="44">
        <v>1.08</v>
      </c>
      <c r="DG91" s="44">
        <v>1167.5999999999999</v>
      </c>
      <c r="DH91" s="44">
        <v>978.92100000000005</v>
      </c>
      <c r="DI91" s="44">
        <v>1365.63</v>
      </c>
      <c r="DJ91" s="44">
        <v>1284.74</v>
      </c>
      <c r="DK91" s="44">
        <v>1391.34</v>
      </c>
      <c r="DL91" s="44">
        <v>1204.51</v>
      </c>
      <c r="DM91" s="44">
        <v>2152.81</v>
      </c>
      <c r="DN91" s="44">
        <v>2163.12</v>
      </c>
      <c r="DO91" s="44">
        <v>2140.2199999999998</v>
      </c>
      <c r="DP91" s="44">
        <v>2610.89</v>
      </c>
      <c r="DQ91" s="44">
        <v>1771.3</v>
      </c>
      <c r="DR91" s="44">
        <v>2131.56</v>
      </c>
      <c r="DS91" s="44">
        <v>2052.67</v>
      </c>
      <c r="DT91" s="44">
        <v>2054.9699999999998</v>
      </c>
      <c r="DU91" s="44">
        <v>2614.94</v>
      </c>
      <c r="DV91" s="44">
        <v>3038.53</v>
      </c>
      <c r="DW91" s="44">
        <v>2832.89</v>
      </c>
      <c r="DX91" s="44">
        <v>2599.5</v>
      </c>
      <c r="DY91" s="44">
        <v>2535.9299999999998</v>
      </c>
      <c r="DZ91" s="44">
        <v>1969.82</v>
      </c>
      <c r="EA91" s="44">
        <v>2117.46</v>
      </c>
      <c r="EB91" s="44">
        <v>2105.4</v>
      </c>
      <c r="EC91" s="44">
        <v>2242.3200000000002</v>
      </c>
      <c r="ED91" s="44">
        <v>1773.27</v>
      </c>
      <c r="EE91" s="44">
        <v>1846.45</v>
      </c>
      <c r="EF91" s="44">
        <v>1973.36</v>
      </c>
      <c r="EG91" s="44">
        <v>2089.34</v>
      </c>
      <c r="EH91" s="44">
        <v>2251.48</v>
      </c>
      <c r="EI91" s="44">
        <v>2004.81</v>
      </c>
      <c r="EJ91" s="44">
        <v>1744.97</v>
      </c>
      <c r="EK91" s="44">
        <v>1033.68</v>
      </c>
      <c r="EL91" s="44">
        <v>1976.21</v>
      </c>
      <c r="EM91" s="44">
        <v>2084.88</v>
      </c>
      <c r="EN91" s="44">
        <v>2490.44</v>
      </c>
      <c r="EO91" s="44">
        <v>2456.83</v>
      </c>
      <c r="EP91" s="44">
        <v>2014.71</v>
      </c>
      <c r="EQ91" s="44">
        <v>2142.9499999999998</v>
      </c>
      <c r="ER91" s="44">
        <v>1812.56</v>
      </c>
      <c r="ES91" s="44">
        <v>2190.58</v>
      </c>
      <c r="ET91" s="44">
        <v>2547.8000000000002</v>
      </c>
      <c r="EU91" s="44">
        <v>641.42999999999995</v>
      </c>
      <c r="EV91" s="44">
        <v>2267.41</v>
      </c>
      <c r="EW91" s="44">
        <v>2933.39</v>
      </c>
      <c r="EX91" s="44">
        <f>2900.21</f>
        <v>2900.21</v>
      </c>
      <c r="EY91" s="44">
        <v>2339.7399999999998</v>
      </c>
      <c r="EZ91" s="44">
        <v>2259.06</v>
      </c>
      <c r="FA91" s="44">
        <v>2637.78</v>
      </c>
      <c r="FB91" s="44">
        <v>2217.39</v>
      </c>
      <c r="FC91" s="44">
        <v>4291.34</v>
      </c>
      <c r="FD91" s="44">
        <v>2256.1</v>
      </c>
      <c r="FE91" s="44">
        <v>2768.25</v>
      </c>
      <c r="FF91" s="44">
        <v>3047.62</v>
      </c>
      <c r="FG91" s="44">
        <v>897.74</v>
      </c>
      <c r="FH91" s="44">
        <v>3061.3</v>
      </c>
      <c r="FI91" s="44">
        <v>2773.14</v>
      </c>
      <c r="FJ91" s="44">
        <v>2816.83</v>
      </c>
      <c r="FK91" s="44">
        <v>3535.2</v>
      </c>
      <c r="FL91" s="44">
        <v>3115.48</v>
      </c>
      <c r="FM91" s="44">
        <v>3.05</v>
      </c>
      <c r="FN91" s="44">
        <v>3582.48</v>
      </c>
      <c r="FO91" s="44">
        <v>3101.2</v>
      </c>
      <c r="FP91" s="44">
        <v>2972.69</v>
      </c>
      <c r="FQ91" s="44">
        <v>2948.83</v>
      </c>
      <c r="FR91" s="44">
        <v>3714.05</v>
      </c>
      <c r="FS91" s="44">
        <v>3876.23</v>
      </c>
      <c r="FT91" s="44">
        <v>3523.99</v>
      </c>
      <c r="FU91" s="44">
        <v>3069.29</v>
      </c>
      <c r="FV91" s="44">
        <v>2776.23</v>
      </c>
      <c r="FW91" s="44">
        <v>3190.58</v>
      </c>
      <c r="FX91" s="44">
        <v>3089.67</v>
      </c>
      <c r="FY91" s="44">
        <v>3310.54</v>
      </c>
      <c r="FZ91" s="44">
        <v>3042.73</v>
      </c>
      <c r="GA91" s="44">
        <v>3071.09</v>
      </c>
      <c r="GB91" s="44">
        <v>2897.48</v>
      </c>
      <c r="GC91" s="44">
        <v>2987.85</v>
      </c>
      <c r="GD91" s="44">
        <v>3163.63</v>
      </c>
      <c r="GE91" s="44">
        <v>3347.58</v>
      </c>
      <c r="GF91" s="44">
        <v>2953</v>
      </c>
      <c r="GG91" s="44">
        <v>3090.99</v>
      </c>
      <c r="GH91" s="44">
        <v>3022.79</v>
      </c>
      <c r="GI91" s="44">
        <v>3104.91</v>
      </c>
      <c r="GJ91" s="44">
        <v>2493.4899999999998</v>
      </c>
      <c r="GK91" s="44">
        <v>3009.37</v>
      </c>
      <c r="GL91" s="44">
        <v>2499.6999999999998</v>
      </c>
      <c r="GM91" s="44">
        <v>2633.05</v>
      </c>
      <c r="GN91" s="44">
        <v>2537.8000000000002</v>
      </c>
      <c r="GO91" s="44">
        <v>2181.0500000000002</v>
      </c>
      <c r="GP91" s="44">
        <v>2289.5100000000002</v>
      </c>
      <c r="GQ91" s="44">
        <v>2794.19</v>
      </c>
      <c r="GR91" s="44">
        <v>1942.28</v>
      </c>
      <c r="GS91" s="44">
        <v>2413</v>
      </c>
      <c r="GT91" s="44">
        <v>2086.17</v>
      </c>
      <c r="GU91" s="44">
        <v>2328.46</v>
      </c>
      <c r="GV91" s="44">
        <v>2569.37</v>
      </c>
      <c r="GW91" s="44">
        <v>2359.38</v>
      </c>
      <c r="GX91" s="44">
        <v>1857.77</v>
      </c>
      <c r="GY91" s="44">
        <v>2231.1</v>
      </c>
      <c r="GZ91" s="44">
        <v>2092.9299999999998</v>
      </c>
      <c r="HA91" s="44">
        <v>1998</v>
      </c>
      <c r="HB91" s="44">
        <v>2463.7600000000002</v>
      </c>
      <c r="HC91" s="44">
        <v>2846</v>
      </c>
      <c r="HD91" s="44">
        <v>2208</v>
      </c>
      <c r="HE91" s="44">
        <v>12.327</v>
      </c>
      <c r="HF91" s="44">
        <v>1417.97</v>
      </c>
      <c r="HG91" s="44">
        <v>1599.41</v>
      </c>
      <c r="HH91" s="44">
        <v>1753.17</v>
      </c>
      <c r="HI91" s="44">
        <v>1679.24</v>
      </c>
      <c r="HJ91" s="44">
        <v>1599.31</v>
      </c>
      <c r="HK91" s="44">
        <v>2126.3200000000002</v>
      </c>
      <c r="HL91" s="44">
        <v>1804.28</v>
      </c>
      <c r="HM91" s="44">
        <v>1717.99</v>
      </c>
      <c r="HN91" s="44">
        <v>2162.94</v>
      </c>
      <c r="HO91" s="44">
        <v>2649.27</v>
      </c>
      <c r="HP91" s="44">
        <v>2022.91</v>
      </c>
      <c r="HQ91" s="44">
        <v>2136</v>
      </c>
      <c r="HR91" s="44">
        <v>1759</v>
      </c>
      <c r="HS91" s="44">
        <v>2245</v>
      </c>
      <c r="HT91" s="44">
        <v>2112.19</v>
      </c>
      <c r="HU91" s="44">
        <v>1913.6972619550299</v>
      </c>
      <c r="HV91" s="44">
        <v>1902.56</v>
      </c>
      <c r="HW91" s="44">
        <v>1776.49</v>
      </c>
      <c r="HX91" s="44">
        <v>1933.72</v>
      </c>
      <c r="HY91" s="44">
        <v>1423.97</v>
      </c>
      <c r="HZ91" s="44">
        <f>+[1]Exports!$GM$94*1000</f>
        <v>2036.3899999999999</v>
      </c>
      <c r="IA91" s="44">
        <v>2411.9199999999996</v>
      </c>
      <c r="IB91" s="44">
        <v>1967.16</v>
      </c>
      <c r="IC91" s="44">
        <v>2038.22</v>
      </c>
      <c r="ID91" s="44">
        <v>1810.83</v>
      </c>
      <c r="IE91" s="44">
        <v>1610.6100000000001</v>
      </c>
      <c r="IF91" s="44">
        <v>1411.6599999999999</v>
      </c>
      <c r="IG91" s="44">
        <v>1706.15</v>
      </c>
      <c r="IH91" s="44">
        <v>1752.7739999999999</v>
      </c>
      <c r="II91" s="44">
        <v>1546.71</v>
      </c>
      <c r="IJ91" s="44">
        <v>1394.68</v>
      </c>
      <c r="IK91" s="43">
        <v>1584.37</v>
      </c>
      <c r="IL91" s="43">
        <v>1485.06</v>
      </c>
      <c r="IM91" s="43">
        <v>1601.64</v>
      </c>
      <c r="IN91" s="43">
        <v>1774.09</v>
      </c>
      <c r="IO91" s="43">
        <v>2120.67</v>
      </c>
      <c r="IP91" s="43">
        <v>2138.9659999999999</v>
      </c>
      <c r="IQ91" s="43">
        <v>1959.0129999999999</v>
      </c>
      <c r="IR91" s="43">
        <v>1513.18</v>
      </c>
      <c r="IS91" s="45">
        <v>1870.4069999999999</v>
      </c>
      <c r="IT91" s="45">
        <v>1701.75</v>
      </c>
      <c r="IU91" s="45">
        <v>1739.2</v>
      </c>
      <c r="IV91" s="45">
        <v>1606.83</v>
      </c>
      <c r="IW91" s="45">
        <v>1639.07</v>
      </c>
      <c r="IX91" s="45">
        <v>2063.71</v>
      </c>
      <c r="IY91" s="45">
        <v>1905.6698000000001</v>
      </c>
      <c r="IZ91" s="45">
        <v>1755.63</v>
      </c>
      <c r="JA91" s="45">
        <v>1862.79</v>
      </c>
      <c r="JB91" s="45">
        <v>1774.36</v>
      </c>
      <c r="JC91" s="45">
        <v>1770.58</v>
      </c>
      <c r="JD91" s="45">
        <v>1097.28</v>
      </c>
      <c r="JE91" s="45">
        <v>1392</v>
      </c>
      <c r="JF91" s="45">
        <v>1595.19</v>
      </c>
      <c r="JG91" s="45">
        <v>1481.6</v>
      </c>
      <c r="JH91" s="45">
        <v>1405.83</v>
      </c>
      <c r="JI91" s="45">
        <v>1332.78</v>
      </c>
      <c r="JJ91" s="45">
        <v>1521.04</v>
      </c>
      <c r="JK91" s="45">
        <v>1706.77</v>
      </c>
      <c r="JL91" s="45">
        <v>1555.9</v>
      </c>
      <c r="JM91" s="45">
        <v>1535.46</v>
      </c>
      <c r="JN91" s="45">
        <v>1405.04</v>
      </c>
      <c r="JO91" s="45">
        <v>1264.28</v>
      </c>
      <c r="JP91" s="45">
        <v>1090.99</v>
      </c>
      <c r="JQ91" s="45">
        <v>1222.72</v>
      </c>
      <c r="JR91" s="45">
        <v>1351.26</v>
      </c>
      <c r="JS91" s="45">
        <v>1553.22</v>
      </c>
      <c r="JT91" s="45">
        <v>1473.12</v>
      </c>
      <c r="JU91" s="45">
        <v>1445.3109999999999</v>
      </c>
      <c r="JV91" s="45">
        <v>1767.03</v>
      </c>
      <c r="JW91" s="45">
        <v>1888.646</v>
      </c>
      <c r="JX91" s="45">
        <v>2079.5010000000002</v>
      </c>
      <c r="JY91" s="45">
        <v>1526.3019999999999</v>
      </c>
      <c r="JZ91" s="45">
        <v>1426.9490000000001</v>
      </c>
      <c r="KA91" s="45">
        <v>1400.4359999999999</v>
      </c>
      <c r="KB91" s="45">
        <v>1369.3030000000001</v>
      </c>
      <c r="KC91" s="45">
        <v>1534.46</v>
      </c>
      <c r="KD91" s="45">
        <v>1555.865</v>
      </c>
      <c r="KE91" s="45">
        <v>1684.4280000000001</v>
      </c>
      <c r="KF91" s="45">
        <v>1346.8420000000001</v>
      </c>
      <c r="KG91" s="45">
        <v>1612.133</v>
      </c>
      <c r="KH91" s="45">
        <v>1600.9590000000001</v>
      </c>
      <c r="KI91" s="45">
        <v>1726.422</v>
      </c>
      <c r="KJ91" s="45">
        <v>1623.4639999999999</v>
      </c>
      <c r="KK91" s="45">
        <v>2172.3000000000002</v>
      </c>
      <c r="KL91" s="45">
        <v>1328.6489999999999</v>
      </c>
      <c r="KM91" s="45">
        <v>1628.0170000000001</v>
      </c>
      <c r="KN91" s="45">
        <v>1412.1579999999999</v>
      </c>
      <c r="KO91" s="45">
        <v>1600.3979999999999</v>
      </c>
      <c r="KP91" s="45">
        <v>1592.0640000000001</v>
      </c>
      <c r="KQ91" s="45">
        <v>1491.982</v>
      </c>
      <c r="KR91" s="45">
        <v>1404.598</v>
      </c>
      <c r="KS91" s="45">
        <v>1438.0509999999999</v>
      </c>
      <c r="KT91" s="45">
        <v>1604.1849999999999</v>
      </c>
      <c r="KU91" s="45">
        <v>1831.3510000000001</v>
      </c>
      <c r="KV91" s="45">
        <v>2042.319</v>
      </c>
      <c r="KW91" s="45">
        <v>1861.095</v>
      </c>
      <c r="KX91" s="45">
        <v>1529.4960000000001</v>
      </c>
      <c r="KY91" s="45">
        <v>1829.3109999999999</v>
      </c>
      <c r="KZ91" s="45">
        <v>1702.0719999999999</v>
      </c>
      <c r="LA91" s="45">
        <v>1687.048</v>
      </c>
      <c r="LB91" s="45">
        <v>1769.8779999999999</v>
      </c>
      <c r="LC91" s="45">
        <v>1489.8009999999999</v>
      </c>
      <c r="LD91" s="45">
        <v>1470.8040000000001</v>
      </c>
      <c r="LE91" s="45">
        <v>1307.8820000000001</v>
      </c>
      <c r="LF91" s="45">
        <v>1451.4490000000001</v>
      </c>
      <c r="LG91" s="45">
        <v>1571.3706</v>
      </c>
      <c r="LH91" s="45">
        <v>1552.0666000000001</v>
      </c>
      <c r="LI91" s="45">
        <v>1536.54</v>
      </c>
      <c r="LJ91" s="45">
        <v>1362.645</v>
      </c>
      <c r="LK91" s="45">
        <v>1673.463</v>
      </c>
      <c r="LL91" s="45">
        <v>1677.693</v>
      </c>
      <c r="LM91" s="45">
        <v>2235.1869999999999</v>
      </c>
      <c r="LN91" s="45">
        <v>2060.3989999999999</v>
      </c>
      <c r="LO91" s="45">
        <v>2030.3691399999998</v>
      </c>
      <c r="LP91" s="45">
        <v>2214.1145000000001</v>
      </c>
      <c r="LQ91" s="45">
        <v>2268.9650000000001</v>
      </c>
      <c r="LR91" s="45">
        <v>2369.9250000000002</v>
      </c>
      <c r="LS91" s="45">
        <v>2602.6400199999998</v>
      </c>
      <c r="LT91" s="45">
        <v>2512.6140700000001</v>
      </c>
      <c r="LU91" s="43"/>
      <c r="LV91" s="43"/>
      <c r="LW91" s="43"/>
      <c r="LX91" s="43"/>
    </row>
    <row r="92" spans="1:336" s="29" customFormat="1" x14ac:dyDescent="0.3">
      <c r="A92" s="33" t="s">
        <v>29</v>
      </c>
      <c r="B92" s="46" t="s">
        <v>89</v>
      </c>
      <c r="C92" s="43">
        <v>30</v>
      </c>
      <c r="D92" s="44">
        <v>38.17</v>
      </c>
      <c r="E92" s="44" t="s">
        <v>86</v>
      </c>
      <c r="F92" s="44">
        <v>7.45</v>
      </c>
      <c r="G92" s="44" t="s">
        <v>86</v>
      </c>
      <c r="H92" s="44" t="s">
        <v>86</v>
      </c>
      <c r="I92" s="44">
        <v>20.7</v>
      </c>
      <c r="J92" s="44" t="s">
        <v>86</v>
      </c>
      <c r="K92" s="44" t="s">
        <v>86</v>
      </c>
      <c r="L92" s="44">
        <v>12.1</v>
      </c>
      <c r="M92" s="44" t="s">
        <v>86</v>
      </c>
      <c r="N92" s="44" t="s">
        <v>86</v>
      </c>
      <c r="O92" s="44">
        <v>40.200000000000003</v>
      </c>
      <c r="P92" s="44">
        <v>33.700000000000003</v>
      </c>
      <c r="Q92" s="44" t="s">
        <v>86</v>
      </c>
      <c r="R92" s="44" t="s">
        <v>86</v>
      </c>
      <c r="S92" s="44" t="s">
        <v>86</v>
      </c>
      <c r="T92" s="44">
        <v>9.6199999999999992</v>
      </c>
      <c r="U92" s="44">
        <v>35.5</v>
      </c>
      <c r="V92" s="44">
        <v>9.3000000000000007</v>
      </c>
      <c r="W92" s="44">
        <v>34.1</v>
      </c>
      <c r="X92" s="44">
        <v>0.2</v>
      </c>
      <c r="Y92" s="44">
        <v>33.9</v>
      </c>
      <c r="Z92" s="44" t="s">
        <v>86</v>
      </c>
      <c r="AA92" s="44">
        <v>33.200000000000003</v>
      </c>
      <c r="AB92" s="44">
        <v>27.1</v>
      </c>
      <c r="AC92" s="44" t="s">
        <v>86</v>
      </c>
      <c r="AD92" s="44">
        <v>22.84</v>
      </c>
      <c r="AE92" s="44">
        <v>1.65</v>
      </c>
      <c r="AF92" s="44">
        <v>60.4</v>
      </c>
      <c r="AG92" s="44">
        <v>7.14</v>
      </c>
      <c r="AH92" s="44">
        <v>270.42</v>
      </c>
      <c r="AI92" s="44">
        <v>333.73</v>
      </c>
      <c r="AJ92" s="44">
        <v>345.11</v>
      </c>
      <c r="AK92" s="44">
        <v>12.71</v>
      </c>
      <c r="AL92" s="44">
        <v>30.62</v>
      </c>
      <c r="AM92" s="44">
        <v>133.02000000000001</v>
      </c>
      <c r="AN92" s="44">
        <v>173.36</v>
      </c>
      <c r="AO92" s="44">
        <v>155.33000000000001</v>
      </c>
      <c r="AP92" s="44">
        <v>89.06</v>
      </c>
      <c r="AQ92" s="44">
        <v>208.83</v>
      </c>
      <c r="AR92" s="44">
        <v>29.16</v>
      </c>
      <c r="AS92" s="44">
        <v>32</v>
      </c>
      <c r="AT92" s="44">
        <v>38.46</v>
      </c>
      <c r="AU92" s="44">
        <v>42</v>
      </c>
      <c r="AV92" s="44">
        <v>8.52</v>
      </c>
      <c r="AW92" s="44">
        <v>98.24</v>
      </c>
      <c r="AX92" s="44">
        <v>176.23</v>
      </c>
      <c r="AY92" s="44">
        <v>21.47</v>
      </c>
      <c r="AZ92" s="44">
        <v>203.64</v>
      </c>
      <c r="BA92" s="44">
        <v>35.42</v>
      </c>
      <c r="BB92" s="44">
        <v>80</v>
      </c>
      <c r="BC92" s="44">
        <v>24.17</v>
      </c>
      <c r="BD92" s="44">
        <v>16.260000000000002</v>
      </c>
      <c r="BE92" s="44">
        <v>1093.9000000000001</v>
      </c>
      <c r="BF92" s="44">
        <v>54.67</v>
      </c>
      <c r="BG92" s="44">
        <v>143.41999999999999</v>
      </c>
      <c r="BH92" s="44">
        <v>223</v>
      </c>
      <c r="BI92" s="44" t="s">
        <v>86</v>
      </c>
      <c r="BJ92" s="44">
        <v>245</v>
      </c>
      <c r="BK92" s="44">
        <v>118.21</v>
      </c>
      <c r="BL92" s="44">
        <v>140.32</v>
      </c>
      <c r="BM92" s="44" t="s">
        <v>86</v>
      </c>
      <c r="BN92" s="44" t="s">
        <v>86</v>
      </c>
      <c r="BO92" s="44">
        <v>147.26</v>
      </c>
      <c r="BP92" s="44">
        <v>176.22</v>
      </c>
      <c r="BQ92" s="44">
        <v>159.19999999999999</v>
      </c>
      <c r="BR92" s="44">
        <v>162.91</v>
      </c>
      <c r="BS92" s="44">
        <v>134.08000000000001</v>
      </c>
      <c r="BT92" s="44">
        <v>341.9</v>
      </c>
      <c r="BU92" s="44">
        <v>161.24</v>
      </c>
      <c r="BV92" s="44">
        <v>174.44</v>
      </c>
      <c r="BW92" s="44">
        <v>139.53</v>
      </c>
      <c r="BX92" s="44">
        <v>189.59</v>
      </c>
      <c r="BY92" s="44">
        <v>145.80000000000001</v>
      </c>
      <c r="BZ92" s="44">
        <v>171.73</v>
      </c>
      <c r="CA92" s="44">
        <v>152.64019999999999</v>
      </c>
      <c r="CB92" s="44">
        <v>219.23</v>
      </c>
      <c r="CC92" s="44">
        <v>219.72</v>
      </c>
      <c r="CD92" s="44">
        <v>188.26</v>
      </c>
      <c r="CE92" s="44">
        <v>188.87</v>
      </c>
      <c r="CF92" s="44">
        <v>218.72</v>
      </c>
      <c r="CG92" s="44">
        <v>114.24</v>
      </c>
      <c r="CH92" s="44">
        <v>285.24</v>
      </c>
      <c r="CI92" s="44">
        <v>368.9</v>
      </c>
      <c r="CJ92" s="44">
        <v>372.48</v>
      </c>
      <c r="CK92" s="44">
        <v>108.42</v>
      </c>
      <c r="CL92" s="44">
        <v>208.23</v>
      </c>
      <c r="CM92" s="44">
        <v>321.77</v>
      </c>
      <c r="CN92" s="44">
        <v>329.55</v>
      </c>
      <c r="CO92" s="44">
        <v>233.55</v>
      </c>
      <c r="CP92" s="44">
        <v>1126.69</v>
      </c>
      <c r="CQ92" s="44">
        <v>1329.72</v>
      </c>
      <c r="CR92" s="44">
        <v>88.26</v>
      </c>
      <c r="CS92" s="44">
        <v>2217.27</v>
      </c>
      <c r="CT92" s="44">
        <v>1866.69</v>
      </c>
      <c r="CU92" s="44">
        <v>593.70000000000005</v>
      </c>
      <c r="CV92" s="44">
        <v>168.45</v>
      </c>
      <c r="CW92" s="44">
        <v>192.16</v>
      </c>
      <c r="CX92" s="44">
        <v>86.43</v>
      </c>
      <c r="CY92" s="44">
        <v>30.78</v>
      </c>
      <c r="CZ92" s="44">
        <v>1342.34</v>
      </c>
      <c r="DA92" s="44">
        <v>100.98</v>
      </c>
      <c r="DB92" s="44">
        <v>33.06</v>
      </c>
      <c r="DC92" s="44">
        <v>769.26</v>
      </c>
      <c r="DD92" s="44">
        <v>341.62</v>
      </c>
      <c r="DE92" s="44">
        <v>1532.6</v>
      </c>
      <c r="DF92" s="44">
        <v>879.3</v>
      </c>
      <c r="DG92" s="44">
        <v>879.3</v>
      </c>
      <c r="DH92" s="44">
        <v>1155.8720000000001</v>
      </c>
      <c r="DI92" s="44">
        <v>40.47</v>
      </c>
      <c r="DJ92" s="44">
        <v>154.4</v>
      </c>
      <c r="DK92" s="44">
        <v>38.799999999999997</v>
      </c>
      <c r="DL92" s="44">
        <v>266</v>
      </c>
      <c r="DM92" s="44">
        <v>256.22000000000003</v>
      </c>
      <c r="DN92" s="44">
        <v>236.4</v>
      </c>
      <c r="DO92" s="44">
        <v>87.3</v>
      </c>
      <c r="DP92" s="44">
        <v>180.02</v>
      </c>
      <c r="DQ92" s="44">
        <v>257.89</v>
      </c>
      <c r="DR92" s="44">
        <v>196.1</v>
      </c>
      <c r="DS92" s="44">
        <v>1640.16</v>
      </c>
      <c r="DT92" s="44">
        <v>894.61</v>
      </c>
      <c r="DU92" s="44"/>
      <c r="DV92" s="44">
        <v>185.39</v>
      </c>
      <c r="DW92" s="44">
        <v>389.58</v>
      </c>
      <c r="DX92" s="44">
        <v>473.95</v>
      </c>
      <c r="DY92" s="44">
        <v>450.21</v>
      </c>
      <c r="DZ92" s="44">
        <v>249.64</v>
      </c>
      <c r="EA92" s="44">
        <v>1389.43</v>
      </c>
      <c r="EB92" s="44">
        <v>1681.01</v>
      </c>
      <c r="EC92" s="44">
        <v>991.44</v>
      </c>
      <c r="ED92" s="44">
        <v>786.56</v>
      </c>
      <c r="EE92" s="44"/>
      <c r="EF92" s="44">
        <v>364.62</v>
      </c>
      <c r="EG92" s="44">
        <v>476.39</v>
      </c>
      <c r="EH92" s="44">
        <v>525.91999999999996</v>
      </c>
      <c r="EI92" s="44">
        <v>537.11</v>
      </c>
      <c r="EJ92" s="44">
        <v>268.14999999999998</v>
      </c>
      <c r="EK92" s="44">
        <v>452.4</v>
      </c>
      <c r="EL92" s="44">
        <v>443.20400000000001</v>
      </c>
      <c r="EM92" s="44">
        <v>1461.7</v>
      </c>
      <c r="EN92" s="44">
        <v>837.07</v>
      </c>
      <c r="EO92" s="44">
        <v>838.2</v>
      </c>
      <c r="EP92" s="44">
        <v>570.82000000000005</v>
      </c>
      <c r="EQ92" s="44">
        <v>672.3</v>
      </c>
      <c r="ER92" s="44">
        <v>1951.43</v>
      </c>
      <c r="ES92" s="44">
        <v>2724.67</v>
      </c>
      <c r="ET92" s="44">
        <v>799.9</v>
      </c>
      <c r="EU92" s="44" t="s">
        <v>87</v>
      </c>
      <c r="EV92" s="44">
        <v>750.31</v>
      </c>
      <c r="EW92" s="44">
        <v>1147.51</v>
      </c>
      <c r="EX92" s="44">
        <v>624.01</v>
      </c>
      <c r="EY92" s="44">
        <v>1009.85</v>
      </c>
      <c r="EZ92" s="44">
        <v>714.59</v>
      </c>
      <c r="FA92" s="44">
        <v>1337.68</v>
      </c>
      <c r="FB92" s="44">
        <v>972.77</v>
      </c>
      <c r="FC92" s="44">
        <v>1209.45</v>
      </c>
      <c r="FD92" s="44">
        <v>2973.76</v>
      </c>
      <c r="FE92" s="44">
        <v>3496.84</v>
      </c>
      <c r="FF92" s="44">
        <v>1232.1600000000001</v>
      </c>
      <c r="FG92" s="44">
        <v>1224.22</v>
      </c>
      <c r="FH92" s="44">
        <v>577</v>
      </c>
      <c r="FI92" s="44">
        <v>956.76</v>
      </c>
      <c r="FJ92" s="44">
        <v>768.08</v>
      </c>
      <c r="FK92" s="44">
        <v>662.1</v>
      </c>
      <c r="FL92" s="44">
        <v>718.07</v>
      </c>
      <c r="FM92" s="44">
        <v>831.13</v>
      </c>
      <c r="FN92" s="44">
        <v>623.36</v>
      </c>
      <c r="FO92" s="44">
        <v>559.41999999999996</v>
      </c>
      <c r="FP92" s="44">
        <v>601.29</v>
      </c>
      <c r="FQ92" s="44">
        <v>1078.77</v>
      </c>
      <c r="FR92" s="44">
        <v>136566.59</v>
      </c>
      <c r="FS92" s="44">
        <v>1568.84</v>
      </c>
      <c r="FT92" s="44">
        <v>1583.08</v>
      </c>
      <c r="FU92" s="44">
        <v>1200.69</v>
      </c>
      <c r="FV92" s="44">
        <v>768.87</v>
      </c>
      <c r="FW92" s="44">
        <v>416.98</v>
      </c>
      <c r="FX92" s="44">
        <v>1140.44</v>
      </c>
      <c r="FY92" s="44">
        <v>560.36</v>
      </c>
      <c r="FZ92" s="44">
        <v>893.45</v>
      </c>
      <c r="GA92" s="44">
        <v>608.4</v>
      </c>
      <c r="GB92" s="44">
        <v>1495.12</v>
      </c>
      <c r="GC92" s="44">
        <v>756.7</v>
      </c>
      <c r="GD92" s="44">
        <v>560.41</v>
      </c>
      <c r="GE92" s="44">
        <v>859.87</v>
      </c>
      <c r="GF92" s="44">
        <v>1140.69</v>
      </c>
      <c r="GG92" s="44">
        <v>1221.8599999999999</v>
      </c>
      <c r="GH92" s="44">
        <v>2151.6999999999998</v>
      </c>
      <c r="GI92" s="44">
        <v>894.29</v>
      </c>
      <c r="GJ92" s="44">
        <v>2220.08</v>
      </c>
      <c r="GK92" s="44">
        <v>3033.56</v>
      </c>
      <c r="GL92" s="44">
        <v>1955.97</v>
      </c>
      <c r="GM92" s="44">
        <v>1834.39</v>
      </c>
      <c r="GN92" s="44">
        <v>1165.94</v>
      </c>
      <c r="GO92" s="44">
        <v>1195.6400000000001</v>
      </c>
      <c r="GP92" s="44">
        <v>3174.28</v>
      </c>
      <c r="GQ92" s="44">
        <v>1739.35</v>
      </c>
      <c r="GR92" s="44">
        <v>795.62</v>
      </c>
      <c r="GS92" s="44">
        <v>849.09</v>
      </c>
      <c r="GT92" s="44">
        <v>961.52</v>
      </c>
      <c r="GU92" s="44">
        <v>1146.75</v>
      </c>
      <c r="GV92" s="44">
        <v>1404.87</v>
      </c>
      <c r="GW92" s="44">
        <v>1310.6400000000001</v>
      </c>
      <c r="GX92" s="44">
        <v>828.74</v>
      </c>
      <c r="GY92" s="44">
        <v>2502.19</v>
      </c>
      <c r="GZ92" s="44">
        <v>1703.13</v>
      </c>
      <c r="HA92" s="44">
        <v>1455.05</v>
      </c>
      <c r="HB92" s="44">
        <v>1432.46</v>
      </c>
      <c r="HC92" s="44">
        <v>1612.7</v>
      </c>
      <c r="HD92" s="44">
        <v>1378.56</v>
      </c>
      <c r="HE92" s="44">
        <v>910.51</v>
      </c>
      <c r="HF92" s="44">
        <v>1115.6500000000001</v>
      </c>
      <c r="HG92" s="44">
        <v>936.05</v>
      </c>
      <c r="HH92" s="44">
        <v>1585.56</v>
      </c>
      <c r="HI92" s="44">
        <v>954.34</v>
      </c>
      <c r="HJ92" s="44">
        <v>1463.22</v>
      </c>
      <c r="HK92" s="44">
        <v>1763.58</v>
      </c>
      <c r="HL92" s="44">
        <v>1408.64</v>
      </c>
      <c r="HM92" s="44">
        <v>2227.17</v>
      </c>
      <c r="HN92" s="44">
        <v>1313.15</v>
      </c>
      <c r="HO92" s="44">
        <v>1281.93</v>
      </c>
      <c r="HP92" s="44">
        <v>1432.46</v>
      </c>
      <c r="HQ92" s="44">
        <v>549.13099999999997</v>
      </c>
      <c r="HR92" s="44">
        <v>699.57399999999996</v>
      </c>
      <c r="HS92" s="44">
        <v>418.02</v>
      </c>
      <c r="HT92" s="44">
        <v>589.87</v>
      </c>
      <c r="HU92" s="44">
        <v>614.178</v>
      </c>
      <c r="HV92" s="44">
        <v>771.16</v>
      </c>
      <c r="HW92" s="44">
        <v>589.85</v>
      </c>
      <c r="HX92" s="44">
        <v>476.71</v>
      </c>
      <c r="HY92" s="44">
        <v>1491.1</v>
      </c>
      <c r="HZ92" s="44">
        <v>2648.42</v>
      </c>
      <c r="IA92" s="44">
        <v>2781.47</v>
      </c>
      <c r="IB92" s="44">
        <v>1675.04</v>
      </c>
      <c r="IC92" s="44">
        <v>1410.28</v>
      </c>
      <c r="ID92" s="44">
        <v>956.75</v>
      </c>
      <c r="IE92" s="44">
        <v>1038.04</v>
      </c>
      <c r="IF92" s="44">
        <v>1455.04</v>
      </c>
      <c r="IG92" s="44">
        <v>1072.0899999999999</v>
      </c>
      <c r="IH92" s="44">
        <v>757.54</v>
      </c>
      <c r="II92" s="44">
        <v>818.38</v>
      </c>
      <c r="IJ92" s="44">
        <v>1150.0999999999999</v>
      </c>
      <c r="IK92" s="43">
        <v>772.8</v>
      </c>
      <c r="IL92" s="43">
        <v>1046.18</v>
      </c>
      <c r="IM92" s="43">
        <v>715.66</v>
      </c>
      <c r="IN92" s="43">
        <v>831.67</v>
      </c>
      <c r="IO92" s="43">
        <v>650.63900000000001</v>
      </c>
      <c r="IP92" s="43">
        <v>683.87800000000004</v>
      </c>
      <c r="IQ92" s="43">
        <v>677.346</v>
      </c>
      <c r="IR92" s="43">
        <v>870.21</v>
      </c>
      <c r="IS92" s="45">
        <v>1627.046</v>
      </c>
      <c r="IT92" s="45">
        <v>954.27</v>
      </c>
      <c r="IU92" s="45">
        <v>1089.73</v>
      </c>
      <c r="IV92" s="45">
        <v>1343.34</v>
      </c>
      <c r="IW92" s="45">
        <v>574.02</v>
      </c>
      <c r="IX92" s="45">
        <v>522.41128000000003</v>
      </c>
      <c r="IY92" s="45">
        <v>788.98562000000015</v>
      </c>
      <c r="IZ92" s="45">
        <v>839.62</v>
      </c>
      <c r="JA92" s="45">
        <v>5635.63</v>
      </c>
      <c r="JB92" s="45">
        <v>1924.92</v>
      </c>
      <c r="JC92" s="45">
        <v>999.16</v>
      </c>
      <c r="JD92" s="45">
        <v>1176.99</v>
      </c>
      <c r="JE92" s="45">
        <v>865.46</v>
      </c>
      <c r="JF92" s="45">
        <v>706.44</v>
      </c>
      <c r="JG92" s="45">
        <v>1008.02</v>
      </c>
      <c r="JH92" s="45">
        <v>896.64</v>
      </c>
      <c r="JI92" s="45">
        <v>673.94</v>
      </c>
      <c r="JJ92" s="45">
        <v>781.19</v>
      </c>
      <c r="JK92" s="45">
        <v>1199.42</v>
      </c>
      <c r="JL92" s="45">
        <v>703.08</v>
      </c>
      <c r="JM92" s="45">
        <v>901.42</v>
      </c>
      <c r="JN92" s="45">
        <v>1852.65</v>
      </c>
      <c r="JO92" s="45">
        <v>713.66</v>
      </c>
      <c r="JP92" s="45">
        <v>882.76</v>
      </c>
      <c r="JQ92" s="45">
        <v>1020.17</v>
      </c>
      <c r="JR92" s="45">
        <v>2019.54</v>
      </c>
      <c r="JS92" s="45">
        <v>3630.27</v>
      </c>
      <c r="JT92" s="45">
        <v>3634.74</v>
      </c>
      <c r="JU92" s="45">
        <v>4265.7430000000004</v>
      </c>
      <c r="JV92" s="45">
        <v>3605.28</v>
      </c>
      <c r="JW92" s="45">
        <v>2755.806</v>
      </c>
      <c r="JX92" s="45">
        <v>2633.6019999999999</v>
      </c>
      <c r="JY92" s="45">
        <v>2552.42</v>
      </c>
      <c r="JZ92" s="45">
        <v>1919.529</v>
      </c>
      <c r="KA92" s="45">
        <v>4062.1509999999998</v>
      </c>
      <c r="KB92" s="45">
        <v>4641.817</v>
      </c>
      <c r="KC92" s="45">
        <v>3364.7109999999998</v>
      </c>
      <c r="KD92" s="45">
        <v>6736.3249999999998</v>
      </c>
      <c r="KE92" s="45">
        <v>4712.2979999999998</v>
      </c>
      <c r="KF92" s="45">
        <v>6809.2839999999997</v>
      </c>
      <c r="KG92" s="45">
        <v>7772.9390000000003</v>
      </c>
      <c r="KH92" s="45">
        <v>3436.3270000000002</v>
      </c>
      <c r="KI92" s="45">
        <v>5865.924</v>
      </c>
      <c r="KJ92" s="45">
        <v>5484.482</v>
      </c>
      <c r="KK92" s="45">
        <v>6226.5959999999995</v>
      </c>
      <c r="KL92" s="45">
        <v>9571.1360000000004</v>
      </c>
      <c r="KM92" s="45">
        <v>8425.4050000000007</v>
      </c>
      <c r="KN92" s="45">
        <v>5664.6620000000003</v>
      </c>
      <c r="KO92" s="45">
        <v>10231.602000000001</v>
      </c>
      <c r="KP92" s="45">
        <v>8156.4179999999997</v>
      </c>
      <c r="KQ92" s="45">
        <v>4984.9939999999997</v>
      </c>
      <c r="KR92" s="45">
        <v>4553.42</v>
      </c>
      <c r="KS92" s="45">
        <v>7568.39</v>
      </c>
      <c r="KT92" s="45">
        <v>5924.9179999999997</v>
      </c>
      <c r="KU92" s="45">
        <v>6119.6049999999996</v>
      </c>
      <c r="KV92" s="45">
        <v>4930.4679999999998</v>
      </c>
      <c r="KW92" s="45">
        <v>4802.451</v>
      </c>
      <c r="KX92" s="45">
        <v>5417.46</v>
      </c>
      <c r="KY92" s="45">
        <v>5172.701</v>
      </c>
      <c r="KZ92" s="45">
        <v>3163.1109999999999</v>
      </c>
      <c r="LA92" s="45">
        <v>7793.7030000000004</v>
      </c>
      <c r="LB92" s="45">
        <v>5567.0420000000004</v>
      </c>
      <c r="LC92" s="45">
        <v>5849.9740000000002</v>
      </c>
      <c r="LD92" s="45">
        <v>6616.7709999999997</v>
      </c>
      <c r="LE92" s="45">
        <v>9725.6859999999997</v>
      </c>
      <c r="LF92" s="45">
        <v>6082.57</v>
      </c>
      <c r="LG92" s="45">
        <v>18301.311000000002</v>
      </c>
      <c r="LH92" s="45">
        <v>18534.864000000001</v>
      </c>
      <c r="LI92" s="45">
        <v>13474.352000000001</v>
      </c>
      <c r="LJ92" s="45">
        <v>13310.718000000001</v>
      </c>
      <c r="LK92" s="45">
        <v>13646.752</v>
      </c>
      <c r="LL92" s="45">
        <v>6463.415</v>
      </c>
      <c r="LM92" s="45">
        <v>9978.1540000000005</v>
      </c>
      <c r="LN92" s="45">
        <v>13265.197</v>
      </c>
      <c r="LO92" s="45">
        <v>7534.451500000001</v>
      </c>
      <c r="LP92" s="45">
        <v>4761.3761999999997</v>
      </c>
      <c r="LQ92" s="45">
        <v>4764.885119999999</v>
      </c>
      <c r="LR92" s="45">
        <v>2695.279</v>
      </c>
      <c r="LS92" s="45">
        <v>2658.7248</v>
      </c>
      <c r="LT92" s="45">
        <v>2661.6062999999999</v>
      </c>
      <c r="LU92" s="43"/>
      <c r="LV92" s="43"/>
      <c r="LW92" s="43"/>
      <c r="LX92" s="43"/>
    </row>
    <row r="93" spans="1:336" s="29" customFormat="1" x14ac:dyDescent="0.3">
      <c r="A93" s="33" t="s">
        <v>97</v>
      </c>
      <c r="B93" s="46" t="s">
        <v>89</v>
      </c>
      <c r="C93" s="43">
        <v>34</v>
      </c>
      <c r="D93" s="44">
        <v>145.44</v>
      </c>
      <c r="E93" s="44">
        <v>59.95</v>
      </c>
      <c r="F93" s="44">
        <v>122.33</v>
      </c>
      <c r="G93" s="44">
        <v>125.96</v>
      </c>
      <c r="H93" s="44">
        <v>202.27</v>
      </c>
      <c r="I93" s="44">
        <v>366.3</v>
      </c>
      <c r="J93" s="44">
        <v>177</v>
      </c>
      <c r="K93" s="44">
        <v>252.3</v>
      </c>
      <c r="L93" s="44">
        <v>203.9</v>
      </c>
      <c r="M93" s="44">
        <v>184</v>
      </c>
      <c r="N93" s="44">
        <v>101.8</v>
      </c>
      <c r="O93" s="44">
        <v>195</v>
      </c>
      <c r="P93" s="44">
        <v>147.5</v>
      </c>
      <c r="Q93" s="44">
        <v>255.4</v>
      </c>
      <c r="R93" s="44">
        <v>280.52</v>
      </c>
      <c r="S93" s="44">
        <v>161.9</v>
      </c>
      <c r="T93" s="44">
        <v>860</v>
      </c>
      <c r="U93" s="44">
        <v>654.6</v>
      </c>
      <c r="V93" s="44">
        <v>320.39999999999998</v>
      </c>
      <c r="W93" s="44">
        <v>500.5</v>
      </c>
      <c r="X93" s="44">
        <v>307</v>
      </c>
      <c r="Y93" s="44">
        <v>443.4</v>
      </c>
      <c r="Z93" s="44">
        <v>625</v>
      </c>
      <c r="AA93" s="44">
        <v>533.29999999999995</v>
      </c>
      <c r="AB93" s="44">
        <v>547.4</v>
      </c>
      <c r="AC93" s="44">
        <v>444.8</v>
      </c>
      <c r="AD93" s="44">
        <v>289.94</v>
      </c>
      <c r="AE93" s="44">
        <v>405.75</v>
      </c>
      <c r="AF93" s="44">
        <v>503.18</v>
      </c>
      <c r="AG93" s="44">
        <v>561.52</v>
      </c>
      <c r="AH93" s="44">
        <v>574.39</v>
      </c>
      <c r="AI93" s="44">
        <v>439.17</v>
      </c>
      <c r="AJ93" s="44">
        <v>548.80999999999995</v>
      </c>
      <c r="AK93" s="44">
        <v>314.89999999999998</v>
      </c>
      <c r="AL93" s="44">
        <v>818.75</v>
      </c>
      <c r="AM93" s="44">
        <v>483.26</v>
      </c>
      <c r="AN93" s="44">
        <v>778.43</v>
      </c>
      <c r="AO93" s="44">
        <v>254.63</v>
      </c>
      <c r="AP93" s="44">
        <v>433.21</v>
      </c>
      <c r="AQ93" s="44">
        <v>486.02</v>
      </c>
      <c r="AR93" s="44">
        <v>468.14</v>
      </c>
      <c r="AS93" s="44">
        <v>491.82</v>
      </c>
      <c r="AT93" s="44">
        <v>578.85</v>
      </c>
      <c r="AU93" s="44">
        <v>360.49</v>
      </c>
      <c r="AV93" s="44">
        <v>278.55</v>
      </c>
      <c r="AW93" s="44">
        <v>33420.22</v>
      </c>
      <c r="AX93" s="44">
        <v>300.58</v>
      </c>
      <c r="AY93" s="44">
        <v>378.81</v>
      </c>
      <c r="AZ93" s="44">
        <v>384.22</v>
      </c>
      <c r="BA93" s="44">
        <v>294.61</v>
      </c>
      <c r="BB93" s="44">
        <v>155.96</v>
      </c>
      <c r="BC93" s="44">
        <v>400.85</v>
      </c>
      <c r="BD93" s="44">
        <v>299</v>
      </c>
      <c r="BE93" s="44">
        <v>181.7</v>
      </c>
      <c r="BF93" s="44">
        <v>663.85</v>
      </c>
      <c r="BG93" s="44">
        <v>426.8</v>
      </c>
      <c r="BH93" s="44">
        <v>861.9</v>
      </c>
      <c r="BI93" s="44">
        <v>539.05999999999995</v>
      </c>
      <c r="BJ93" s="44">
        <v>559.53</v>
      </c>
      <c r="BK93" s="44">
        <v>183.41</v>
      </c>
      <c r="BL93" s="44">
        <v>55.33</v>
      </c>
      <c r="BM93" s="44" t="s">
        <v>86</v>
      </c>
      <c r="BN93" s="44" t="s">
        <v>86</v>
      </c>
      <c r="BO93" s="44">
        <v>517.36</v>
      </c>
      <c r="BP93" s="44">
        <v>592.87</v>
      </c>
      <c r="BQ93" s="44">
        <v>568.91999999999996</v>
      </c>
      <c r="BR93" s="44">
        <v>625.54</v>
      </c>
      <c r="BS93" s="44">
        <v>498.93</v>
      </c>
      <c r="BT93" s="44">
        <v>450.82</v>
      </c>
      <c r="BU93" s="44">
        <v>462</v>
      </c>
      <c r="BV93" s="44">
        <v>528.79999999999995</v>
      </c>
      <c r="BW93" s="44">
        <v>310.93</v>
      </c>
      <c r="BX93" s="44">
        <v>428.26</v>
      </c>
      <c r="BY93" s="44">
        <v>586.04999999999995</v>
      </c>
      <c r="BZ93" s="44">
        <v>649.79</v>
      </c>
      <c r="CA93" s="44">
        <v>807.50199999999995</v>
      </c>
      <c r="CB93" s="44">
        <v>565.45500000000004</v>
      </c>
      <c r="CC93" s="44">
        <v>115.35</v>
      </c>
      <c r="CD93" s="44">
        <v>611</v>
      </c>
      <c r="CE93" s="44">
        <v>540.39</v>
      </c>
      <c r="CF93" s="44">
        <v>24.44</v>
      </c>
      <c r="CG93" s="44">
        <v>833.74</v>
      </c>
      <c r="CH93" s="44">
        <v>635.25</v>
      </c>
      <c r="CI93" s="44">
        <v>1439.96</v>
      </c>
      <c r="CJ93" s="44">
        <v>626.49</v>
      </c>
      <c r="CK93" s="44">
        <v>692.24</v>
      </c>
      <c r="CL93" s="44">
        <v>894.86</v>
      </c>
      <c r="CM93" s="44">
        <v>999.25</v>
      </c>
      <c r="CN93" s="44">
        <v>1588.21</v>
      </c>
      <c r="CO93" s="44">
        <v>833.83</v>
      </c>
      <c r="CP93" s="44">
        <v>867.38</v>
      </c>
      <c r="CQ93" s="44">
        <v>964.81</v>
      </c>
      <c r="CR93" s="44">
        <v>1015.92</v>
      </c>
      <c r="CS93" s="44">
        <v>693.78</v>
      </c>
      <c r="CT93" s="44">
        <v>792.65</v>
      </c>
      <c r="CU93" s="44">
        <v>714.8</v>
      </c>
      <c r="CV93" s="44">
        <v>224.56</v>
      </c>
      <c r="CW93" s="44">
        <v>199.86</v>
      </c>
      <c r="CX93" s="44">
        <v>120.65</v>
      </c>
      <c r="CY93" s="44">
        <v>209.13</v>
      </c>
      <c r="CZ93" s="44">
        <v>668.08</v>
      </c>
      <c r="DA93" s="44">
        <v>1079.99</v>
      </c>
      <c r="DB93" s="44">
        <v>609.84</v>
      </c>
      <c r="DC93" s="44">
        <v>1021.18</v>
      </c>
      <c r="DD93" s="44">
        <v>817.81</v>
      </c>
      <c r="DE93" s="44">
        <v>1324.56</v>
      </c>
      <c r="DF93" s="44">
        <v>1301.78</v>
      </c>
      <c r="DG93" s="44">
        <v>1503.24</v>
      </c>
      <c r="DH93" s="44">
        <v>941</v>
      </c>
      <c r="DI93" s="44">
        <v>1481.05</v>
      </c>
      <c r="DJ93" s="44">
        <v>698.25</v>
      </c>
      <c r="DK93" s="44">
        <v>2068.52</v>
      </c>
      <c r="DL93" s="44">
        <v>867.75</v>
      </c>
      <c r="DM93" s="44">
        <v>3086.93</v>
      </c>
      <c r="DN93" s="44">
        <v>1295</v>
      </c>
      <c r="DO93" s="44">
        <v>1332.27</v>
      </c>
      <c r="DP93" s="44">
        <v>1289.79</v>
      </c>
      <c r="DQ93" s="44">
        <v>1361.29</v>
      </c>
      <c r="DR93" s="44">
        <v>1921.45</v>
      </c>
      <c r="DS93" s="44">
        <v>936.89</v>
      </c>
      <c r="DT93" s="44">
        <v>1847</v>
      </c>
      <c r="DU93" s="44">
        <v>1728.19</v>
      </c>
      <c r="DV93" s="44">
        <v>1875.35</v>
      </c>
      <c r="DW93" s="44">
        <v>2005.03</v>
      </c>
      <c r="DX93" s="44">
        <v>2120</v>
      </c>
      <c r="DY93" s="44">
        <v>4317.5200000000004</v>
      </c>
      <c r="DZ93" s="44">
        <v>1717.51</v>
      </c>
      <c r="EA93" s="44">
        <v>1468.75</v>
      </c>
      <c r="EB93" s="44">
        <v>1274.05</v>
      </c>
      <c r="EC93" s="44">
        <v>1503.84</v>
      </c>
      <c r="ED93" s="44">
        <v>2496</v>
      </c>
      <c r="EE93" s="44">
        <v>1198.3900000000001</v>
      </c>
      <c r="EF93" s="44">
        <v>269.95999999999998</v>
      </c>
      <c r="EG93" s="44">
        <v>266.49</v>
      </c>
      <c r="EH93" s="44">
        <v>1699.29</v>
      </c>
      <c r="EI93" s="44">
        <v>3139.65</v>
      </c>
      <c r="EJ93" s="44">
        <v>1540.76</v>
      </c>
      <c r="EK93" s="44">
        <v>2242.31</v>
      </c>
      <c r="EL93" s="44">
        <v>1117.49</v>
      </c>
      <c r="EM93" s="44">
        <v>969.85</v>
      </c>
      <c r="EN93" s="44">
        <v>840.14</v>
      </c>
      <c r="EO93" s="44">
        <v>1213.44</v>
      </c>
      <c r="EP93" s="44">
        <v>1174.4100000000001</v>
      </c>
      <c r="EQ93" s="44">
        <v>3652.43</v>
      </c>
      <c r="ER93" s="44">
        <v>1213.75</v>
      </c>
      <c r="ES93" s="44">
        <v>2562.08</v>
      </c>
      <c r="ET93" s="44">
        <v>2019.09</v>
      </c>
      <c r="EU93" s="44">
        <v>1290.97</v>
      </c>
      <c r="EV93" s="44">
        <v>1510.7</v>
      </c>
      <c r="EW93" s="44">
        <v>2511.44</v>
      </c>
      <c r="EX93" s="44">
        <v>1680.7</v>
      </c>
      <c r="EY93" s="44">
        <v>1100.07</v>
      </c>
      <c r="EZ93" s="44">
        <v>2174.14</v>
      </c>
      <c r="FA93" s="44">
        <v>1457.44</v>
      </c>
      <c r="FB93" s="44">
        <v>1476.85</v>
      </c>
      <c r="FC93" s="44">
        <v>1428.05</v>
      </c>
      <c r="FD93" s="44">
        <v>1538.72</v>
      </c>
      <c r="FE93" s="44">
        <v>1559.26</v>
      </c>
      <c r="FF93" s="44">
        <v>1201.67</v>
      </c>
      <c r="FG93" s="44">
        <v>1512.76</v>
      </c>
      <c r="FH93" s="44">
        <v>1737.43</v>
      </c>
      <c r="FI93" s="44">
        <v>2733.4</v>
      </c>
      <c r="FJ93" s="44">
        <v>1587.62</v>
      </c>
      <c r="FK93" s="44">
        <v>1423.21</v>
      </c>
      <c r="FL93" s="44">
        <v>3581.83</v>
      </c>
      <c r="FM93" s="44">
        <v>2302.69</v>
      </c>
      <c r="FN93" s="44">
        <v>3173.69</v>
      </c>
      <c r="FO93" s="44">
        <v>2357.7800000000002</v>
      </c>
      <c r="FP93" s="44">
        <v>3249.1</v>
      </c>
      <c r="FQ93" s="44">
        <v>1753.93</v>
      </c>
      <c r="FR93" s="44">
        <v>1645.56</v>
      </c>
      <c r="FS93" s="44">
        <v>1747.17</v>
      </c>
      <c r="FT93" s="44">
        <v>1652.62</v>
      </c>
      <c r="FU93" s="44">
        <v>2578.33</v>
      </c>
      <c r="FV93" s="44">
        <v>1590.05</v>
      </c>
      <c r="FW93" s="44">
        <v>1717.34</v>
      </c>
      <c r="FX93" s="44">
        <v>2449.59</v>
      </c>
      <c r="FY93" s="44">
        <v>2121.67</v>
      </c>
      <c r="FZ93" s="44">
        <v>2497.83</v>
      </c>
      <c r="GA93" s="44">
        <v>1773.33</v>
      </c>
      <c r="GB93" s="44">
        <v>2054.27</v>
      </c>
      <c r="GC93" s="44">
        <v>1931.5</v>
      </c>
      <c r="GD93" s="44">
        <v>1394.59</v>
      </c>
      <c r="GE93" s="44">
        <v>2583.6</v>
      </c>
      <c r="GF93" s="44">
        <v>1349.76</v>
      </c>
      <c r="GG93" s="44">
        <v>3394.63</v>
      </c>
      <c r="GH93" s="44">
        <v>1759.16</v>
      </c>
      <c r="GI93" s="44">
        <v>1873.36</v>
      </c>
      <c r="GJ93" s="44">
        <v>2316.62</v>
      </c>
      <c r="GK93" s="44">
        <v>2104.1</v>
      </c>
      <c r="GL93" s="44">
        <v>3449.66</v>
      </c>
      <c r="GM93" s="44">
        <v>1060.6099999999999</v>
      </c>
      <c r="GN93" s="44">
        <v>1533.52</v>
      </c>
      <c r="GO93" s="44">
        <v>1123.95</v>
      </c>
      <c r="GP93" s="44">
        <v>1141.33</v>
      </c>
      <c r="GQ93" s="44">
        <v>1174.03</v>
      </c>
      <c r="GR93" s="44">
        <v>1210.48</v>
      </c>
      <c r="GS93" s="44">
        <v>1820.05</v>
      </c>
      <c r="GT93" s="44">
        <v>1694.79</v>
      </c>
      <c r="GU93" s="44">
        <v>1935.47</v>
      </c>
      <c r="GV93" s="44">
        <v>1314.89</v>
      </c>
      <c r="GW93" s="44">
        <v>1027.7</v>
      </c>
      <c r="GX93" s="44">
        <v>1014.92</v>
      </c>
      <c r="GY93" s="44">
        <v>326.17</v>
      </c>
      <c r="GZ93" s="44">
        <v>795.84</v>
      </c>
      <c r="HA93" s="44">
        <v>716.54</v>
      </c>
      <c r="HB93" s="44">
        <v>854.29</v>
      </c>
      <c r="HC93" s="44">
        <v>777.81</v>
      </c>
      <c r="HD93" s="44">
        <v>500.13</v>
      </c>
      <c r="HE93" s="44">
        <v>742.93</v>
      </c>
      <c r="HF93" s="44">
        <v>420.46</v>
      </c>
      <c r="HG93" s="44">
        <v>665.62</v>
      </c>
      <c r="HH93" s="44">
        <v>581.07000000000005</v>
      </c>
      <c r="HI93" s="44">
        <v>374.73</v>
      </c>
      <c r="HJ93" s="44">
        <v>239.6</v>
      </c>
      <c r="HK93" s="44">
        <v>343.43</v>
      </c>
      <c r="HL93" s="44">
        <v>329.68</v>
      </c>
      <c r="HM93" s="44">
        <v>275.24</v>
      </c>
      <c r="HN93" s="44">
        <v>410.18</v>
      </c>
      <c r="HO93" s="44">
        <v>339.78</v>
      </c>
      <c r="HP93" s="44">
        <v>730</v>
      </c>
      <c r="HQ93" s="44">
        <v>680</v>
      </c>
      <c r="HR93" s="44">
        <v>625</v>
      </c>
      <c r="HS93" s="44">
        <v>617.67999999999995</v>
      </c>
      <c r="HT93" s="44">
        <v>832.7</v>
      </c>
      <c r="HU93" s="44">
        <v>1470.43619461358</v>
      </c>
      <c r="HV93" s="44">
        <v>934.9</v>
      </c>
      <c r="HW93" s="44">
        <v>725.61</v>
      </c>
      <c r="HX93" s="44">
        <v>787.69</v>
      </c>
      <c r="HY93" s="44">
        <v>763.19</v>
      </c>
      <c r="HZ93" s="44">
        <v>743.92</v>
      </c>
      <c r="IA93" s="44">
        <v>560.38</v>
      </c>
      <c r="IB93" s="44">
        <v>2615.0100000000002</v>
      </c>
      <c r="IC93" s="44">
        <v>2552.6499999999996</v>
      </c>
      <c r="ID93" s="44">
        <v>2500.83</v>
      </c>
      <c r="IE93" s="44">
        <v>2637.62</v>
      </c>
      <c r="IF93" s="44">
        <v>1928.35</v>
      </c>
      <c r="IG93" s="44">
        <v>1637.11</v>
      </c>
      <c r="IH93" s="44">
        <v>1709.1010000000001</v>
      </c>
      <c r="II93" s="44">
        <v>1289.02</v>
      </c>
      <c r="IJ93" s="44">
        <v>1177.7</v>
      </c>
      <c r="IK93" s="43">
        <v>1541.11</v>
      </c>
      <c r="IL93" s="43">
        <v>1612.87</v>
      </c>
      <c r="IM93" s="43">
        <v>1912.53</v>
      </c>
      <c r="IN93" s="43">
        <v>1509.75</v>
      </c>
      <c r="IO93" s="43">
        <v>1912.288</v>
      </c>
      <c r="IP93" s="43">
        <v>2114.3789999999999</v>
      </c>
      <c r="IQ93" s="43">
        <v>2272.0509999999999</v>
      </c>
      <c r="IR93" s="43">
        <v>2105.62</v>
      </c>
      <c r="IS93" s="45">
        <v>2825.498</v>
      </c>
      <c r="IT93" s="45">
        <v>2498.84</v>
      </c>
      <c r="IU93" s="45">
        <v>1861.48</v>
      </c>
      <c r="IV93" s="45">
        <v>1518.96</v>
      </c>
      <c r="IW93" s="45">
        <v>2024.32</v>
      </c>
      <c r="IX93" s="45">
        <v>2069.89</v>
      </c>
      <c r="IY93" s="45">
        <v>1749.249</v>
      </c>
      <c r="IZ93" s="45">
        <v>294.13</v>
      </c>
      <c r="JA93" s="45">
        <v>167.18</v>
      </c>
      <c r="JB93" s="45">
        <v>329.4</v>
      </c>
      <c r="JC93" s="45">
        <v>221.03</v>
      </c>
      <c r="JD93" s="45">
        <v>271.19</v>
      </c>
      <c r="JE93" s="45">
        <v>2948.7829999999999</v>
      </c>
      <c r="JF93" s="45">
        <v>1902.33</v>
      </c>
      <c r="JG93" s="45">
        <v>3226.11</v>
      </c>
      <c r="JH93" s="45">
        <v>2631.28</v>
      </c>
      <c r="JI93" s="45">
        <v>2663.6</v>
      </c>
      <c r="JJ93" s="45">
        <v>2729.9</v>
      </c>
      <c r="JK93" s="45">
        <v>2528.9899999999998</v>
      </c>
      <c r="JL93" s="45">
        <v>1641.27</v>
      </c>
      <c r="JM93" s="45">
        <v>3568.09</v>
      </c>
      <c r="JN93" s="45">
        <v>2763.71</v>
      </c>
      <c r="JO93" s="45">
        <v>2814.47</v>
      </c>
      <c r="JP93" s="45">
        <v>2392.23</v>
      </c>
      <c r="JQ93" s="45">
        <v>2499.9</v>
      </c>
      <c r="JR93" s="45">
        <v>2313.96</v>
      </c>
      <c r="JS93" s="45">
        <v>1898.46</v>
      </c>
      <c r="JT93" s="45">
        <v>2066.7800000000002</v>
      </c>
      <c r="JU93" s="45">
        <v>3564.393</v>
      </c>
      <c r="JV93" s="45">
        <v>3295.18</v>
      </c>
      <c r="JW93" s="45">
        <v>2844.498</v>
      </c>
      <c r="JX93" s="45">
        <v>2566.5309999999999</v>
      </c>
      <c r="JY93" s="45">
        <v>2604.0050000000001</v>
      </c>
      <c r="JZ93" s="45">
        <v>2655.5250000000001</v>
      </c>
      <c r="KA93" s="45">
        <v>3472.2469999999998</v>
      </c>
      <c r="KB93" s="45">
        <v>2918.4760000000001</v>
      </c>
      <c r="KC93" s="45">
        <v>2354.0430000000001</v>
      </c>
      <c r="KD93" s="45">
        <v>2229.1860000000001</v>
      </c>
      <c r="KE93" s="45">
        <v>1752.365</v>
      </c>
      <c r="KF93" s="45">
        <v>2598.4630000000002</v>
      </c>
      <c r="KG93" s="45">
        <v>2187.6889999999999</v>
      </c>
      <c r="KH93" s="45">
        <v>2147.3229999999999</v>
      </c>
      <c r="KI93" s="45">
        <v>2222.0250000000001</v>
      </c>
      <c r="KJ93" s="45">
        <v>2742.9769999999999</v>
      </c>
      <c r="KK93" s="45">
        <v>2699.9639999999999</v>
      </c>
      <c r="KL93" s="45">
        <v>1820.741</v>
      </c>
      <c r="KM93" s="45">
        <v>2425.6320000000001</v>
      </c>
      <c r="KN93" s="45">
        <v>1842.1410000000001</v>
      </c>
      <c r="KO93" s="45">
        <v>1972.742</v>
      </c>
      <c r="KP93" s="45">
        <v>1873.479</v>
      </c>
      <c r="KQ93" s="45">
        <v>1615.011</v>
      </c>
      <c r="KR93" s="45">
        <v>1591.8109999999999</v>
      </c>
      <c r="KS93" s="45">
        <v>2084.3090000000002</v>
      </c>
      <c r="KT93" s="45">
        <v>1889.539</v>
      </c>
      <c r="KU93" s="45">
        <v>2277.6880000000001</v>
      </c>
      <c r="KV93" s="45">
        <v>1945.3579999999999</v>
      </c>
      <c r="KW93" s="45">
        <v>1897.453</v>
      </c>
      <c r="KX93" s="45">
        <v>2573.0709999999999</v>
      </c>
      <c r="KY93" s="45">
        <v>1852.655</v>
      </c>
      <c r="KZ93" s="45">
        <v>2406.9650000000001</v>
      </c>
      <c r="LA93" s="45">
        <v>2754.6320000000001</v>
      </c>
      <c r="LB93" s="45">
        <v>1811.992</v>
      </c>
      <c r="LC93" s="45">
        <v>1846.7529999999999</v>
      </c>
      <c r="LD93" s="45">
        <v>1723.6279999999999</v>
      </c>
      <c r="LE93" s="45">
        <v>2400.1909999999998</v>
      </c>
      <c r="LF93" s="45">
        <v>2353.3429999999998</v>
      </c>
      <c r="LG93" s="45">
        <v>2457.17</v>
      </c>
      <c r="LH93" s="45">
        <v>2225.212</v>
      </c>
      <c r="LI93" s="45">
        <v>3053.076</v>
      </c>
      <c r="LJ93" s="45">
        <v>2370.712</v>
      </c>
      <c r="LK93" s="45">
        <v>2668.663</v>
      </c>
      <c r="LL93" s="45">
        <v>2209.4169999999999</v>
      </c>
      <c r="LM93" s="45">
        <v>1848</v>
      </c>
      <c r="LN93" s="45">
        <v>1613.7329999999999</v>
      </c>
      <c r="LO93" s="45">
        <v>1368.9849999999999</v>
      </c>
      <c r="LP93" s="45">
        <v>1999.336</v>
      </c>
      <c r="LQ93" s="45">
        <v>2231.02142</v>
      </c>
      <c r="LR93" s="45">
        <v>2022.5039999999999</v>
      </c>
      <c r="LS93" s="45">
        <v>1394.56125</v>
      </c>
      <c r="LT93" s="45">
        <v>1010.9896</v>
      </c>
      <c r="LU93" s="43"/>
      <c r="LV93" s="43"/>
      <c r="LW93" s="43"/>
      <c r="LX93" s="43"/>
    </row>
    <row r="94" spans="1:336" s="29" customFormat="1" x14ac:dyDescent="0.3">
      <c r="A94" s="33" t="s">
        <v>24</v>
      </c>
      <c r="B94" s="46" t="s">
        <v>89</v>
      </c>
      <c r="C94" s="43" t="s">
        <v>86</v>
      </c>
      <c r="D94" s="44" t="s">
        <v>86</v>
      </c>
      <c r="E94" s="44" t="s">
        <v>86</v>
      </c>
      <c r="F94" s="44" t="s">
        <v>86</v>
      </c>
      <c r="G94" s="44" t="s">
        <v>86</v>
      </c>
      <c r="H94" s="44" t="s">
        <v>86</v>
      </c>
      <c r="I94" s="44" t="s">
        <v>86</v>
      </c>
      <c r="J94" s="44" t="s">
        <v>86</v>
      </c>
      <c r="K94" s="44" t="s">
        <v>86</v>
      </c>
      <c r="L94" s="44" t="s">
        <v>86</v>
      </c>
      <c r="M94" s="44" t="s">
        <v>86</v>
      </c>
      <c r="N94" s="44" t="s">
        <v>86</v>
      </c>
      <c r="O94" s="44" t="s">
        <v>86</v>
      </c>
      <c r="P94" s="44" t="s">
        <v>86</v>
      </c>
      <c r="Q94" s="44" t="s">
        <v>86</v>
      </c>
      <c r="R94" s="44" t="s">
        <v>86</v>
      </c>
      <c r="S94" s="44" t="s">
        <v>86</v>
      </c>
      <c r="T94" s="44" t="s">
        <v>86</v>
      </c>
      <c r="U94" s="44" t="s">
        <v>86</v>
      </c>
      <c r="V94" s="44" t="s">
        <v>86</v>
      </c>
      <c r="W94" s="44" t="s">
        <v>86</v>
      </c>
      <c r="X94" s="44" t="s">
        <v>86</v>
      </c>
      <c r="Y94" s="44" t="s">
        <v>86</v>
      </c>
      <c r="Z94" s="44" t="s">
        <v>86</v>
      </c>
      <c r="AA94" s="44" t="s">
        <v>86</v>
      </c>
      <c r="AB94" s="44" t="s">
        <v>86</v>
      </c>
      <c r="AC94" s="44" t="s">
        <v>86</v>
      </c>
      <c r="AD94" s="44" t="s">
        <v>86</v>
      </c>
      <c r="AE94" s="44" t="s">
        <v>86</v>
      </c>
      <c r="AF94" s="44" t="s">
        <v>86</v>
      </c>
      <c r="AG94" s="44" t="s">
        <v>86</v>
      </c>
      <c r="AH94" s="44" t="s">
        <v>86</v>
      </c>
      <c r="AI94" s="44" t="s">
        <v>86</v>
      </c>
      <c r="AJ94" s="44">
        <v>1200</v>
      </c>
      <c r="AK94" s="44" t="s">
        <v>86</v>
      </c>
      <c r="AL94" s="44" t="s">
        <v>86</v>
      </c>
      <c r="AM94" s="44" t="s">
        <v>86</v>
      </c>
      <c r="AN94" s="44" t="s">
        <v>86</v>
      </c>
      <c r="AO94" s="44" t="s">
        <v>86</v>
      </c>
      <c r="AP94" s="44" t="s">
        <v>86</v>
      </c>
      <c r="AQ94" s="44" t="s">
        <v>86</v>
      </c>
      <c r="AR94" s="44" t="s">
        <v>86</v>
      </c>
      <c r="AS94" s="44" t="s">
        <v>86</v>
      </c>
      <c r="AT94" s="44" t="s">
        <v>86</v>
      </c>
      <c r="AU94" s="44" t="s">
        <v>86</v>
      </c>
      <c r="AV94" s="44" t="s">
        <v>86</v>
      </c>
      <c r="AW94" s="44" t="s">
        <v>86</v>
      </c>
      <c r="AX94" s="44" t="s">
        <v>86</v>
      </c>
      <c r="AY94" s="44" t="s">
        <v>86</v>
      </c>
      <c r="AZ94" s="44" t="s">
        <v>86</v>
      </c>
      <c r="BA94" s="44" t="s">
        <v>86</v>
      </c>
      <c r="BB94" s="44" t="s">
        <v>86</v>
      </c>
      <c r="BC94" s="44" t="s">
        <v>86</v>
      </c>
      <c r="BD94" s="44" t="s">
        <v>86</v>
      </c>
      <c r="BE94" s="44" t="s">
        <v>86</v>
      </c>
      <c r="BF94" s="44" t="s">
        <v>86</v>
      </c>
      <c r="BG94" s="44" t="s">
        <v>86</v>
      </c>
      <c r="BH94" s="44" t="s">
        <v>86</v>
      </c>
      <c r="BI94" s="44" t="s">
        <v>86</v>
      </c>
      <c r="BJ94" s="44" t="s">
        <v>86</v>
      </c>
      <c r="BK94" s="44" t="s">
        <v>86</v>
      </c>
      <c r="BL94" s="44" t="s">
        <v>86</v>
      </c>
      <c r="BM94" s="44" t="s">
        <v>86</v>
      </c>
      <c r="BN94" s="44" t="s">
        <v>86</v>
      </c>
      <c r="BO94" s="44" t="s">
        <v>86</v>
      </c>
      <c r="BP94" s="44" t="s">
        <v>86</v>
      </c>
      <c r="BQ94" s="44" t="s">
        <v>86</v>
      </c>
      <c r="BR94" s="44" t="s">
        <v>86</v>
      </c>
      <c r="BS94" s="44" t="s">
        <v>86</v>
      </c>
      <c r="BT94" s="44" t="s">
        <v>86</v>
      </c>
      <c r="BU94" s="44" t="s">
        <v>86</v>
      </c>
      <c r="BV94" s="44" t="s">
        <v>86</v>
      </c>
      <c r="BW94" s="44" t="s">
        <v>86</v>
      </c>
      <c r="BX94" s="44" t="s">
        <v>86</v>
      </c>
      <c r="BY94" s="44" t="s">
        <v>86</v>
      </c>
      <c r="BZ94" s="44" t="s">
        <v>86</v>
      </c>
      <c r="CA94" s="44" t="s">
        <v>86</v>
      </c>
      <c r="CB94" s="44" t="s">
        <v>86</v>
      </c>
      <c r="CC94" s="44"/>
      <c r="CD94" s="44"/>
      <c r="CE94" s="44"/>
      <c r="CF94" s="44"/>
      <c r="CG94" s="44"/>
      <c r="CH94" s="44"/>
      <c r="CI94" s="44"/>
      <c r="CJ94" s="44"/>
      <c r="CK94" s="44"/>
      <c r="CL94" s="44"/>
      <c r="CM94" s="44"/>
      <c r="CN94" s="44"/>
      <c r="CO94" s="44"/>
      <c r="CP94" s="44"/>
      <c r="CQ94" s="44"/>
      <c r="CR94" s="44"/>
      <c r="CS94" s="44"/>
      <c r="CT94" s="44"/>
      <c r="CU94" s="44"/>
      <c r="CV94" s="44"/>
      <c r="CW94" s="44"/>
      <c r="CX94" s="44"/>
      <c r="CY94" s="44"/>
      <c r="CZ94" s="44"/>
      <c r="DA94" s="44" t="s">
        <v>86</v>
      </c>
      <c r="DB94" s="44" t="s">
        <v>86</v>
      </c>
      <c r="DC94" s="44" t="s">
        <v>86</v>
      </c>
      <c r="DD94" s="44" t="s">
        <v>86</v>
      </c>
      <c r="DE94" s="44" t="s">
        <v>86</v>
      </c>
      <c r="DF94" s="44" t="s">
        <v>86</v>
      </c>
      <c r="DG94" s="44" t="s">
        <v>86</v>
      </c>
      <c r="DH94" s="44" t="s">
        <v>86</v>
      </c>
      <c r="DI94" s="44" t="s">
        <v>87</v>
      </c>
      <c r="DJ94" s="44" t="s">
        <v>87</v>
      </c>
      <c r="DK94" s="44" t="s">
        <v>87</v>
      </c>
      <c r="DL94" s="44" t="s">
        <v>87</v>
      </c>
      <c r="DM94" s="44" t="s">
        <v>87</v>
      </c>
      <c r="DN94" s="44" t="s">
        <v>87</v>
      </c>
      <c r="DO94" s="44" t="s">
        <v>87</v>
      </c>
      <c r="DP94" s="44" t="s">
        <v>87</v>
      </c>
      <c r="DQ94" s="44" t="s">
        <v>87</v>
      </c>
      <c r="DR94" s="44" t="s">
        <v>87</v>
      </c>
      <c r="DS94" s="44" t="s">
        <v>87</v>
      </c>
      <c r="DT94" s="44" t="s">
        <v>87</v>
      </c>
      <c r="DU94" s="44" t="s">
        <v>87</v>
      </c>
      <c r="DV94" s="44" t="s">
        <v>87</v>
      </c>
      <c r="DW94" s="44" t="s">
        <v>87</v>
      </c>
      <c r="DX94" s="44" t="s">
        <v>87</v>
      </c>
      <c r="DY94" s="44" t="s">
        <v>87</v>
      </c>
      <c r="DZ94" s="44" t="s">
        <v>87</v>
      </c>
      <c r="EA94" s="44" t="s">
        <v>87</v>
      </c>
      <c r="EB94" s="44" t="s">
        <v>87</v>
      </c>
      <c r="EC94" s="44" t="s">
        <v>87</v>
      </c>
      <c r="ED94" s="44" t="s">
        <v>87</v>
      </c>
      <c r="EE94" s="44" t="s">
        <v>87</v>
      </c>
      <c r="EF94" s="44" t="s">
        <v>87</v>
      </c>
      <c r="EG94" s="44" t="s">
        <v>87</v>
      </c>
      <c r="EH94" s="44" t="s">
        <v>87</v>
      </c>
      <c r="EI94" s="44" t="s">
        <v>87</v>
      </c>
      <c r="EJ94" s="44" t="s">
        <v>87</v>
      </c>
      <c r="EK94" s="44" t="s">
        <v>87</v>
      </c>
      <c r="EL94" s="44" t="s">
        <v>87</v>
      </c>
      <c r="EM94" s="44" t="s">
        <v>87</v>
      </c>
      <c r="EN94" s="44" t="s">
        <v>87</v>
      </c>
      <c r="EO94" s="44" t="s">
        <v>87</v>
      </c>
      <c r="EP94" s="44" t="s">
        <v>87</v>
      </c>
      <c r="EQ94" s="44" t="s">
        <v>87</v>
      </c>
      <c r="ER94" s="44" t="s">
        <v>87</v>
      </c>
      <c r="ES94" s="44" t="s">
        <v>87</v>
      </c>
      <c r="ET94" s="44" t="s">
        <v>87</v>
      </c>
      <c r="EU94" s="44" t="s">
        <v>87</v>
      </c>
      <c r="EV94" s="44" t="s">
        <v>87</v>
      </c>
      <c r="EW94" s="44" t="s">
        <v>87</v>
      </c>
      <c r="EX94" s="44" t="s">
        <v>87</v>
      </c>
      <c r="EY94" s="44" t="s">
        <v>87</v>
      </c>
      <c r="EZ94" s="44" t="s">
        <v>87</v>
      </c>
      <c r="FA94" s="44" t="s">
        <v>87</v>
      </c>
      <c r="FB94" s="44" t="s">
        <v>87</v>
      </c>
      <c r="FC94" s="44" t="s">
        <v>87</v>
      </c>
      <c r="FD94" s="44" t="s">
        <v>87</v>
      </c>
      <c r="FE94" s="44" t="s">
        <v>87</v>
      </c>
      <c r="FF94" s="44" t="s">
        <v>87</v>
      </c>
      <c r="FG94" s="44" t="s">
        <v>87</v>
      </c>
      <c r="FH94" s="44" t="s">
        <v>87</v>
      </c>
      <c r="FI94" s="44" t="s">
        <v>87</v>
      </c>
      <c r="FJ94" s="44" t="s">
        <v>87</v>
      </c>
      <c r="FK94" s="44" t="s">
        <v>87</v>
      </c>
      <c r="FL94" s="44" t="s">
        <v>87</v>
      </c>
      <c r="FM94" s="44" t="s">
        <v>87</v>
      </c>
      <c r="FN94" s="44" t="s">
        <v>87</v>
      </c>
      <c r="FO94" s="44" t="s">
        <v>87</v>
      </c>
      <c r="FP94" s="44" t="s">
        <v>87</v>
      </c>
      <c r="FQ94" s="44" t="s">
        <v>87</v>
      </c>
      <c r="FR94" s="44" t="s">
        <v>87</v>
      </c>
      <c r="FS94" s="44" t="s">
        <v>87</v>
      </c>
      <c r="FT94" s="44" t="s">
        <v>87</v>
      </c>
      <c r="FU94" s="44" t="s">
        <v>87</v>
      </c>
      <c r="FV94" s="44" t="s">
        <v>87</v>
      </c>
      <c r="FW94" s="44" t="s">
        <v>87</v>
      </c>
      <c r="FX94" s="44" t="s">
        <v>86</v>
      </c>
      <c r="FY94" s="44" t="s">
        <v>86</v>
      </c>
      <c r="FZ94" s="44" t="s">
        <v>86</v>
      </c>
      <c r="GA94" s="44" t="s">
        <v>86</v>
      </c>
      <c r="GB94" s="44" t="s">
        <v>86</v>
      </c>
      <c r="GC94" s="44" t="s">
        <v>86</v>
      </c>
      <c r="GD94" s="44" t="s">
        <v>86</v>
      </c>
      <c r="GE94" s="44" t="s">
        <v>86</v>
      </c>
      <c r="GF94" s="44" t="s">
        <v>86</v>
      </c>
      <c r="GG94" s="44" t="s">
        <v>86</v>
      </c>
      <c r="GH94" s="44" t="s">
        <v>86</v>
      </c>
      <c r="GI94" s="44" t="s">
        <v>86</v>
      </c>
      <c r="GJ94" s="44" t="s">
        <v>86</v>
      </c>
      <c r="GK94" s="44" t="s">
        <v>86</v>
      </c>
      <c r="GL94" s="44" t="s">
        <v>86</v>
      </c>
      <c r="GM94" s="44" t="s">
        <v>86</v>
      </c>
      <c r="GN94" s="44" t="s">
        <v>86</v>
      </c>
      <c r="GO94" s="44">
        <v>7466.75</v>
      </c>
      <c r="GP94" s="44">
        <v>11818.85</v>
      </c>
      <c r="GQ94" s="44">
        <v>14048.45</v>
      </c>
      <c r="GR94" s="44">
        <v>16622.330000000002</v>
      </c>
      <c r="GS94" s="44">
        <v>12937.05</v>
      </c>
      <c r="GT94" s="44">
        <v>14322.92</v>
      </c>
      <c r="GU94" s="44">
        <v>23436</v>
      </c>
      <c r="GV94" s="44">
        <v>31500.75</v>
      </c>
      <c r="GW94" s="44">
        <v>30868.23</v>
      </c>
      <c r="GX94" s="44">
        <v>26654.799999999999</v>
      </c>
      <c r="GY94" s="44">
        <v>33034.199999999997</v>
      </c>
      <c r="GZ94" s="44">
        <v>33728.550000000003</v>
      </c>
      <c r="HA94" s="44">
        <v>35224.199999999997</v>
      </c>
      <c r="HB94" s="44">
        <v>37295.1</v>
      </c>
      <c r="HC94" s="44">
        <v>34036.400000000001</v>
      </c>
      <c r="HD94" s="44">
        <v>39047.22</v>
      </c>
      <c r="HE94" s="44">
        <v>32411.9</v>
      </c>
      <c r="HF94" s="44">
        <v>32753.7</v>
      </c>
      <c r="HG94" s="44">
        <v>31541.1</v>
      </c>
      <c r="HH94" s="44">
        <v>29475.72</v>
      </c>
      <c r="HI94" s="44">
        <v>33105.550000000003</v>
      </c>
      <c r="HJ94" s="44">
        <v>28065.02</v>
      </c>
      <c r="HK94" s="44">
        <v>28230.92</v>
      </c>
      <c r="HL94" s="44">
        <v>36328.21</v>
      </c>
      <c r="HM94" s="44">
        <v>32963.300000000003</v>
      </c>
      <c r="HN94" s="44">
        <v>35913.800000000003</v>
      </c>
      <c r="HO94" s="44">
        <v>35871.79</v>
      </c>
      <c r="HP94" s="44">
        <v>33902.44</v>
      </c>
      <c r="HQ94" s="44">
        <v>32760.780999999999</v>
      </c>
      <c r="HR94" s="44">
        <v>28417.57</v>
      </c>
      <c r="HS94" s="44">
        <v>31306.42</v>
      </c>
      <c r="HT94" s="44">
        <v>29469.69</v>
      </c>
      <c r="HU94" s="44">
        <v>25295.508999999998</v>
      </c>
      <c r="HV94" s="44">
        <v>25257.25</v>
      </c>
      <c r="HW94" s="44">
        <v>23813.22</v>
      </c>
      <c r="HX94" s="44">
        <v>27936.35</v>
      </c>
      <c r="HY94" s="44">
        <v>33616.21</v>
      </c>
      <c r="HZ94" s="44">
        <v>35942.6</v>
      </c>
      <c r="IA94" s="44">
        <v>31603.18</v>
      </c>
      <c r="IB94" s="44">
        <v>35734.15</v>
      </c>
      <c r="IC94" s="44">
        <v>35784.25</v>
      </c>
      <c r="ID94" s="44">
        <v>29620.83</v>
      </c>
      <c r="IE94" s="44">
        <v>42692.5</v>
      </c>
      <c r="IF94" s="44">
        <v>33402.300000000003</v>
      </c>
      <c r="IG94" s="44">
        <v>36538.86</v>
      </c>
      <c r="IH94" s="44">
        <v>46023</v>
      </c>
      <c r="II94" s="44">
        <v>47204.800000000003</v>
      </c>
      <c r="IJ94" s="44">
        <v>48797.85</v>
      </c>
      <c r="IK94" s="43">
        <v>47187.03</v>
      </c>
      <c r="IL94" s="43">
        <v>45235.83</v>
      </c>
      <c r="IM94" s="43">
        <v>47639.19</v>
      </c>
      <c r="IN94" s="43">
        <v>43769.3</v>
      </c>
      <c r="IO94" s="43">
        <v>45123.06</v>
      </c>
      <c r="IP94" s="43">
        <v>35534.589999999997</v>
      </c>
      <c r="IQ94" s="43">
        <v>40239.114999999998</v>
      </c>
      <c r="IR94" s="43">
        <v>43588.5</v>
      </c>
      <c r="IS94" s="45">
        <v>42142.868000000002</v>
      </c>
      <c r="IT94" s="45">
        <v>50299.47</v>
      </c>
      <c r="IU94" s="45">
        <v>49953.18</v>
      </c>
      <c r="IV94" s="45">
        <v>60468.25</v>
      </c>
      <c r="IW94" s="45">
        <v>48572.800000000003</v>
      </c>
      <c r="IX94" s="45">
        <v>46305.21</v>
      </c>
      <c r="IY94" s="45">
        <v>44680.438999999998</v>
      </c>
      <c r="IZ94" s="45">
        <v>48588.12</v>
      </c>
      <c r="JA94" s="45">
        <v>40042.629999999997</v>
      </c>
      <c r="JB94" s="45">
        <v>47182</v>
      </c>
      <c r="JC94" s="45">
        <v>54286.19</v>
      </c>
      <c r="JD94" s="45">
        <v>45703.9</v>
      </c>
      <c r="JE94" s="45">
        <v>55185.33</v>
      </c>
      <c r="JF94" s="45">
        <v>52265.67</v>
      </c>
      <c r="JG94" s="45">
        <v>53482.3</v>
      </c>
      <c r="JH94" s="45">
        <v>54141.2</v>
      </c>
      <c r="JI94" s="45">
        <v>53035.4</v>
      </c>
      <c r="JJ94" s="45">
        <v>49455.78</v>
      </c>
      <c r="JK94" s="45">
        <v>38876.949999999997</v>
      </c>
      <c r="JL94" s="45">
        <v>47311.21</v>
      </c>
      <c r="JM94" s="45">
        <v>36016.22</v>
      </c>
      <c r="JN94" s="45">
        <v>39364.47</v>
      </c>
      <c r="JO94" s="45">
        <v>38561.550000000003</v>
      </c>
      <c r="JP94" s="45">
        <v>12063</v>
      </c>
      <c r="JQ94" s="45">
        <v>14230.25</v>
      </c>
      <c r="JR94" s="45">
        <v>18880.580000000002</v>
      </c>
      <c r="JS94" s="45">
        <v>18365.740000000002</v>
      </c>
      <c r="JT94" s="45">
        <v>17629.689999999999</v>
      </c>
      <c r="JU94" s="45">
        <v>15279.15</v>
      </c>
      <c r="JV94" s="45">
        <v>12349.85</v>
      </c>
      <c r="JW94" s="45">
        <v>11435.65</v>
      </c>
      <c r="JX94" s="45">
        <v>12837.43</v>
      </c>
      <c r="JY94" s="45">
        <v>11193.960999999999</v>
      </c>
      <c r="JZ94" s="45">
        <v>16410.296999999999</v>
      </c>
      <c r="KA94" s="45">
        <v>18879.553</v>
      </c>
      <c r="KB94" s="45">
        <v>38692.22</v>
      </c>
      <c r="KC94" s="45">
        <v>40018.275000000001</v>
      </c>
      <c r="KD94" s="45">
        <v>42420.495000000003</v>
      </c>
      <c r="KE94" s="45">
        <v>39788.519999999997</v>
      </c>
      <c r="KF94" s="45">
        <v>32180.6</v>
      </c>
      <c r="KG94" s="45">
        <v>28367.62</v>
      </c>
      <c r="KH94" s="45">
        <v>27509.51</v>
      </c>
      <c r="KI94" s="45">
        <v>23799.42</v>
      </c>
      <c r="KJ94" s="45">
        <v>40397.523000000001</v>
      </c>
      <c r="KK94" s="45">
        <v>25282.799999999999</v>
      </c>
      <c r="KL94" s="45">
        <v>26171.57</v>
      </c>
      <c r="KM94" s="45">
        <v>34873.146999999997</v>
      </c>
      <c r="KN94" s="45">
        <v>27891.4</v>
      </c>
      <c r="KO94" s="45">
        <v>34209.11</v>
      </c>
      <c r="KP94" s="45">
        <v>40983.732000000004</v>
      </c>
      <c r="KQ94" s="45">
        <v>31136.81</v>
      </c>
      <c r="KR94" s="45">
        <v>29929.42</v>
      </c>
      <c r="KS94" s="45">
        <v>26443.392</v>
      </c>
      <c r="KT94" s="45">
        <v>26067.74</v>
      </c>
      <c r="KU94" s="45">
        <v>26198.84</v>
      </c>
      <c r="KV94" s="45">
        <v>26662.41</v>
      </c>
      <c r="KW94" s="45">
        <v>17692.509999999998</v>
      </c>
      <c r="KX94" s="45">
        <v>23493.31</v>
      </c>
      <c r="KY94" s="45">
        <v>26252.05</v>
      </c>
      <c r="KZ94" s="45">
        <v>28069.61</v>
      </c>
      <c r="LA94" s="45">
        <v>29299.69</v>
      </c>
      <c r="LB94" s="45">
        <v>23305.8</v>
      </c>
      <c r="LC94" s="45">
        <v>20074.482</v>
      </c>
      <c r="LD94" s="45">
        <v>23590.37</v>
      </c>
      <c r="LE94" s="45">
        <v>26116.59</v>
      </c>
      <c r="LF94" s="45">
        <v>23625.96</v>
      </c>
      <c r="LG94" s="45">
        <v>27649.928</v>
      </c>
      <c r="LH94" s="45">
        <v>26555.200000000001</v>
      </c>
      <c r="LI94" s="45">
        <v>22840.45</v>
      </c>
      <c r="LJ94" s="45">
        <v>27310.69</v>
      </c>
      <c r="LK94" s="45">
        <v>33865.050000000003</v>
      </c>
      <c r="LL94" s="45">
        <v>28003.477999999999</v>
      </c>
      <c r="LM94" s="45">
        <v>36479.309000000001</v>
      </c>
      <c r="LN94" s="45">
        <v>26225.129000000001</v>
      </c>
      <c r="LO94" s="45">
        <v>32262.092000000001</v>
      </c>
      <c r="LP94" s="45">
        <v>28902.22</v>
      </c>
      <c r="LQ94" s="45">
        <v>31647.32</v>
      </c>
      <c r="LR94" s="45">
        <v>42143.472000000002</v>
      </c>
      <c r="LS94" s="45">
        <v>38918.606</v>
      </c>
      <c r="LT94" s="45">
        <v>44454</v>
      </c>
      <c r="LU94" s="43"/>
      <c r="LV94" s="43"/>
      <c r="LW94" s="43"/>
      <c r="LX94" s="43"/>
    </row>
    <row r="95" spans="1:336" s="29" customFormat="1" x14ac:dyDescent="0.3">
      <c r="A95" s="33" t="s">
        <v>14</v>
      </c>
      <c r="B95" s="46" t="s">
        <v>89</v>
      </c>
      <c r="C95" s="43" t="s">
        <v>86</v>
      </c>
      <c r="D95" s="44" t="s">
        <v>86</v>
      </c>
      <c r="E95" s="44" t="s">
        <v>86</v>
      </c>
      <c r="F95" s="44" t="s">
        <v>86</v>
      </c>
      <c r="G95" s="44" t="s">
        <v>86</v>
      </c>
      <c r="H95" s="44" t="s">
        <v>86</v>
      </c>
      <c r="I95" s="44" t="s">
        <v>86</v>
      </c>
      <c r="J95" s="44" t="s">
        <v>86</v>
      </c>
      <c r="K95" s="44" t="s">
        <v>86</v>
      </c>
      <c r="L95" s="44" t="s">
        <v>86</v>
      </c>
      <c r="M95" s="44" t="s">
        <v>86</v>
      </c>
      <c r="N95" s="44" t="s">
        <v>86</v>
      </c>
      <c r="O95" s="44" t="s">
        <v>86</v>
      </c>
      <c r="P95" s="44" t="s">
        <v>86</v>
      </c>
      <c r="Q95" s="44" t="s">
        <v>86</v>
      </c>
      <c r="R95" s="44" t="s">
        <v>86</v>
      </c>
      <c r="S95" s="44" t="s">
        <v>86</v>
      </c>
      <c r="T95" s="44" t="s">
        <v>86</v>
      </c>
      <c r="U95" s="44" t="s">
        <v>86</v>
      </c>
      <c r="V95" s="44" t="s">
        <v>86</v>
      </c>
      <c r="W95" s="44" t="s">
        <v>86</v>
      </c>
      <c r="X95" s="44" t="s">
        <v>86</v>
      </c>
      <c r="Y95" s="44" t="s">
        <v>86</v>
      </c>
      <c r="Z95" s="44" t="s">
        <v>86</v>
      </c>
      <c r="AA95" s="44" t="s">
        <v>86</v>
      </c>
      <c r="AB95" s="44" t="s">
        <v>86</v>
      </c>
      <c r="AC95" s="44" t="s">
        <v>86</v>
      </c>
      <c r="AD95" s="44" t="s">
        <v>86</v>
      </c>
      <c r="AE95" s="44" t="s">
        <v>86</v>
      </c>
      <c r="AF95" s="44" t="s">
        <v>86</v>
      </c>
      <c r="AG95" s="44">
        <v>13.92</v>
      </c>
      <c r="AH95" s="44">
        <v>24.91</v>
      </c>
      <c r="AI95" s="44">
        <v>29.87</v>
      </c>
      <c r="AJ95" s="44">
        <v>27.64</v>
      </c>
      <c r="AK95" s="44">
        <v>8.32</v>
      </c>
      <c r="AL95" s="44">
        <v>13.77</v>
      </c>
      <c r="AM95" s="44" t="s">
        <v>86</v>
      </c>
      <c r="AN95" s="44">
        <v>3.12</v>
      </c>
      <c r="AO95" s="44">
        <v>29.46</v>
      </c>
      <c r="AP95" s="44">
        <v>43.5</v>
      </c>
      <c r="AQ95" s="44">
        <v>45.71</v>
      </c>
      <c r="AR95" s="44">
        <v>49.71</v>
      </c>
      <c r="AS95" s="44">
        <v>56.77</v>
      </c>
      <c r="AT95" s="44">
        <v>41</v>
      </c>
      <c r="AU95" s="44">
        <v>52.53</v>
      </c>
      <c r="AV95" s="44">
        <v>28.93</v>
      </c>
      <c r="AW95" s="44">
        <v>9034.24</v>
      </c>
      <c r="AX95" s="44">
        <v>26.86</v>
      </c>
      <c r="AY95" s="44">
        <v>3.83</v>
      </c>
      <c r="AZ95" s="44">
        <v>503.46</v>
      </c>
      <c r="BA95" s="44">
        <v>57.48</v>
      </c>
      <c r="BB95" s="44">
        <v>365.31</v>
      </c>
      <c r="BC95" s="44">
        <v>9.58</v>
      </c>
      <c r="BD95" s="44">
        <v>4.8899999999999997</v>
      </c>
      <c r="BE95" s="44">
        <v>42.81</v>
      </c>
      <c r="BF95" s="44">
        <v>96.53</v>
      </c>
      <c r="BG95" s="44">
        <v>96.75</v>
      </c>
      <c r="BH95" s="44" t="s">
        <v>86</v>
      </c>
      <c r="BI95" s="44" t="s">
        <v>86</v>
      </c>
      <c r="BJ95" s="44" t="s">
        <v>86</v>
      </c>
      <c r="BK95" s="44">
        <v>45.29</v>
      </c>
      <c r="BL95" s="44">
        <v>42.27</v>
      </c>
      <c r="BM95" s="44" t="s">
        <v>86</v>
      </c>
      <c r="BN95" s="44" t="s">
        <v>86</v>
      </c>
      <c r="BO95" s="44">
        <v>152.52000000000001</v>
      </c>
      <c r="BP95" s="44">
        <v>169.12</v>
      </c>
      <c r="BQ95" s="44">
        <v>175.95</v>
      </c>
      <c r="BR95" s="44">
        <v>200.95</v>
      </c>
      <c r="BS95" s="44">
        <v>230.51</v>
      </c>
      <c r="BT95" s="44">
        <v>151.88999999999999</v>
      </c>
      <c r="BU95" s="44">
        <v>159.69999999999999</v>
      </c>
      <c r="BV95" s="44">
        <v>82.2</v>
      </c>
      <c r="BW95" s="44">
        <v>70.47</v>
      </c>
      <c r="BX95" s="44">
        <v>74.87</v>
      </c>
      <c r="BY95" s="44">
        <v>137.38999999999999</v>
      </c>
      <c r="BZ95" s="44">
        <v>171.45</v>
      </c>
      <c r="CA95" s="44">
        <v>158.37</v>
      </c>
      <c r="CB95" s="44">
        <v>191.57</v>
      </c>
      <c r="CC95" s="44">
        <v>191.32</v>
      </c>
      <c r="CD95" s="44">
        <v>198.78</v>
      </c>
      <c r="CE95" s="44">
        <v>177.97</v>
      </c>
      <c r="CF95" s="44">
        <v>203.6</v>
      </c>
      <c r="CG95" s="44">
        <v>80.84</v>
      </c>
      <c r="CH95" s="44">
        <v>130.31</v>
      </c>
      <c r="CI95" s="44">
        <v>129.21</v>
      </c>
      <c r="CJ95" s="44">
        <v>140.69</v>
      </c>
      <c r="CK95" s="44">
        <v>83.29</v>
      </c>
      <c r="CL95" s="44">
        <v>199.32</v>
      </c>
      <c r="CM95" s="44">
        <v>209.56</v>
      </c>
      <c r="CN95" s="44">
        <v>172.76</v>
      </c>
      <c r="CO95" s="44">
        <v>159.62</v>
      </c>
      <c r="CP95" s="44">
        <v>131.63999999999999</v>
      </c>
      <c r="CQ95" s="44">
        <v>228.99</v>
      </c>
      <c r="CR95" s="44">
        <v>153.76</v>
      </c>
      <c r="CS95" s="44">
        <v>184.8</v>
      </c>
      <c r="CT95" s="44">
        <v>130</v>
      </c>
      <c r="CU95" s="44">
        <v>134.38</v>
      </c>
      <c r="CV95" s="44">
        <v>135.30000000000001</v>
      </c>
      <c r="CW95" s="44">
        <v>194.93</v>
      </c>
      <c r="CX95" s="44">
        <v>123.73</v>
      </c>
      <c r="CY95" s="44" t="s">
        <v>86</v>
      </c>
      <c r="CZ95" s="44">
        <v>72</v>
      </c>
      <c r="DA95" s="44" t="s">
        <v>86</v>
      </c>
      <c r="DB95" s="44" t="s">
        <v>86</v>
      </c>
      <c r="DC95" s="44" t="s">
        <v>86</v>
      </c>
      <c r="DD95" s="44" t="s">
        <v>86</v>
      </c>
      <c r="DE95" s="44" t="s">
        <v>86</v>
      </c>
      <c r="DF95" s="44" t="s">
        <v>86</v>
      </c>
      <c r="DG95" s="44" t="s">
        <v>86</v>
      </c>
      <c r="DH95" s="44" t="s">
        <v>86</v>
      </c>
      <c r="DI95" s="44" t="s">
        <v>87</v>
      </c>
      <c r="DJ95" s="44">
        <v>276</v>
      </c>
      <c r="DK95" s="44">
        <v>487</v>
      </c>
      <c r="DL95" s="44">
        <v>284</v>
      </c>
      <c r="DM95" s="44">
        <v>263</v>
      </c>
      <c r="DN95" s="44">
        <v>261</v>
      </c>
      <c r="DO95" s="44">
        <v>313</v>
      </c>
      <c r="DP95" s="44">
        <v>300</v>
      </c>
      <c r="DQ95" s="44">
        <v>341</v>
      </c>
      <c r="DR95" s="44">
        <v>272</v>
      </c>
      <c r="DS95" s="44">
        <v>269</v>
      </c>
      <c r="DT95" s="44">
        <v>326</v>
      </c>
      <c r="DU95" s="44">
        <v>298</v>
      </c>
      <c r="DV95" s="44">
        <v>333.14</v>
      </c>
      <c r="DW95" s="44">
        <v>292.45</v>
      </c>
      <c r="DX95" s="44">
        <v>453</v>
      </c>
      <c r="DY95" s="44">
        <v>336.09</v>
      </c>
      <c r="DZ95" s="44">
        <v>421.65</v>
      </c>
      <c r="EA95" s="44">
        <v>402.6</v>
      </c>
      <c r="EB95" s="44">
        <v>396.17</v>
      </c>
      <c r="EC95" s="44">
        <v>420.15</v>
      </c>
      <c r="ED95" s="44">
        <v>344.86</v>
      </c>
      <c r="EE95" s="44">
        <v>404.04</v>
      </c>
      <c r="EF95" s="44">
        <v>399.82</v>
      </c>
      <c r="EG95" s="44">
        <v>422.25</v>
      </c>
      <c r="EH95" s="44">
        <v>378.72</v>
      </c>
      <c r="EI95" s="44">
        <v>342.15</v>
      </c>
      <c r="EJ95" s="44">
        <v>386.78</v>
      </c>
      <c r="EK95" s="44">
        <v>313.83</v>
      </c>
      <c r="EL95" s="44">
        <v>313.83</v>
      </c>
      <c r="EM95" s="44">
        <v>345.57</v>
      </c>
      <c r="EN95" s="44">
        <v>608.76</v>
      </c>
      <c r="EO95" s="44">
        <v>648.05999999999995</v>
      </c>
      <c r="EP95" s="44">
        <v>381.63</v>
      </c>
      <c r="EQ95" s="44">
        <v>288.51</v>
      </c>
      <c r="ER95" s="44">
        <v>346.4</v>
      </c>
      <c r="ES95" s="44">
        <v>718.68</v>
      </c>
      <c r="ET95" s="44">
        <v>525.04999999999995</v>
      </c>
      <c r="EU95" s="44">
        <v>488.45</v>
      </c>
      <c r="EV95" s="44">
        <v>457.05</v>
      </c>
      <c r="EW95" s="44">
        <v>442.18</v>
      </c>
      <c r="EX95" s="44"/>
      <c r="EY95" s="44">
        <v>579.28</v>
      </c>
      <c r="EZ95" s="44">
        <v>541.92999999999995</v>
      </c>
      <c r="FA95" s="44">
        <v>526.65</v>
      </c>
      <c r="FB95" s="44">
        <v>552.70000000000005</v>
      </c>
      <c r="FC95" s="44">
        <v>533.32000000000005</v>
      </c>
      <c r="FD95" s="44">
        <v>565.52</v>
      </c>
      <c r="FE95" s="44">
        <v>517.44000000000005</v>
      </c>
      <c r="FF95" s="44">
        <v>569.16999999999996</v>
      </c>
      <c r="FG95" s="44">
        <v>564.29999999999995</v>
      </c>
      <c r="FH95" s="44">
        <v>501.8</v>
      </c>
      <c r="FI95" s="44">
        <v>436.01</v>
      </c>
      <c r="FJ95" s="44">
        <v>616.35</v>
      </c>
      <c r="FK95" s="44">
        <v>587.49</v>
      </c>
      <c r="FL95" s="44">
        <v>587.30999999999995</v>
      </c>
      <c r="FM95" s="44">
        <v>618.27</v>
      </c>
      <c r="FN95" s="44">
        <v>579.75</v>
      </c>
      <c r="FO95" s="44">
        <v>624.08000000000004</v>
      </c>
      <c r="FP95" s="44">
        <v>611.98</v>
      </c>
      <c r="FQ95" s="44">
        <v>546.88</v>
      </c>
      <c r="FR95" s="44">
        <v>672.92</v>
      </c>
      <c r="FS95" s="44">
        <v>630.36</v>
      </c>
      <c r="FT95" s="44">
        <v>593.80999999999995</v>
      </c>
      <c r="FU95" s="44">
        <v>591.21</v>
      </c>
      <c r="FV95" s="44">
        <v>635.09</v>
      </c>
      <c r="FW95" s="44">
        <v>586.22</v>
      </c>
      <c r="FX95" s="44">
        <v>540.82000000000005</v>
      </c>
      <c r="FY95" s="44">
        <v>618.04</v>
      </c>
      <c r="FZ95" s="44">
        <v>525.75</v>
      </c>
      <c r="GA95" s="44">
        <v>547.22</v>
      </c>
      <c r="GB95" s="44">
        <v>647.26</v>
      </c>
      <c r="GC95" s="44">
        <v>623.79999999999995</v>
      </c>
      <c r="GD95" s="44">
        <v>597.16</v>
      </c>
      <c r="GE95" s="44">
        <v>449.38</v>
      </c>
      <c r="GF95" s="44">
        <v>477.56</v>
      </c>
      <c r="GG95" s="44">
        <v>648.66</v>
      </c>
      <c r="GH95" s="44">
        <v>595.91999999999996</v>
      </c>
      <c r="GI95" s="44">
        <v>632.30999999999995</v>
      </c>
      <c r="GJ95" s="44">
        <v>440.56</v>
      </c>
      <c r="GK95" s="44">
        <v>651.29999999999995</v>
      </c>
      <c r="GL95" s="44">
        <v>511.58</v>
      </c>
      <c r="GM95" s="44">
        <v>564.08000000000004</v>
      </c>
      <c r="GN95" s="44">
        <v>558.54</v>
      </c>
      <c r="GO95" s="44">
        <v>539.1</v>
      </c>
      <c r="GP95" s="44">
        <v>508.04</v>
      </c>
      <c r="GQ95" s="44">
        <v>638.16</v>
      </c>
      <c r="GR95" s="44">
        <v>298.8</v>
      </c>
      <c r="GS95" s="44">
        <v>602.09</v>
      </c>
      <c r="GT95" s="44">
        <v>448.7</v>
      </c>
      <c r="GU95" s="44">
        <v>383.75</v>
      </c>
      <c r="GV95" s="44">
        <v>641.55999999999995</v>
      </c>
      <c r="GW95" s="44">
        <v>705.07</v>
      </c>
      <c r="GX95" s="44">
        <v>411.07</v>
      </c>
      <c r="GY95" s="44">
        <v>540.65</v>
      </c>
      <c r="GZ95" s="44">
        <v>674.09</v>
      </c>
      <c r="HA95" s="44">
        <v>547.57000000000005</v>
      </c>
      <c r="HB95" s="44">
        <v>475.33</v>
      </c>
      <c r="HC95" s="44">
        <v>689.81</v>
      </c>
      <c r="HD95" s="44">
        <v>501.68</v>
      </c>
      <c r="HE95" s="44">
        <v>469.37</v>
      </c>
      <c r="HF95" s="44">
        <v>589.51</v>
      </c>
      <c r="HG95" s="44">
        <v>573.88</v>
      </c>
      <c r="HH95" s="44">
        <v>542</v>
      </c>
      <c r="HI95" s="44">
        <v>532.21</v>
      </c>
      <c r="HJ95" s="44">
        <v>588.74</v>
      </c>
      <c r="HK95" s="44">
        <v>549.48900000000003</v>
      </c>
      <c r="HL95" s="44">
        <v>611.39</v>
      </c>
      <c r="HM95" s="44">
        <v>565.29999999999995</v>
      </c>
      <c r="HN95" s="44">
        <v>500.93</v>
      </c>
      <c r="HO95" s="44">
        <v>3552.93</v>
      </c>
      <c r="HP95" s="44">
        <v>463.9</v>
      </c>
      <c r="HQ95" s="44">
        <v>3897</v>
      </c>
      <c r="HR95" s="44">
        <v>4405</v>
      </c>
      <c r="HS95" s="44">
        <v>584.13</v>
      </c>
      <c r="HT95" s="44">
        <v>379.59</v>
      </c>
      <c r="HU95" s="44">
        <v>105</v>
      </c>
      <c r="HV95" s="44">
        <v>686.36</v>
      </c>
      <c r="HW95" s="44">
        <v>553.67999999999995</v>
      </c>
      <c r="HX95" s="44">
        <v>537.33000000000004</v>
      </c>
      <c r="HY95" s="44">
        <v>469.71</v>
      </c>
      <c r="HZ95" s="44">
        <f>+[1]Exports!$GM$154*1000</f>
        <v>483.41</v>
      </c>
      <c r="IA95" s="44">
        <v>463.75</v>
      </c>
      <c r="IB95" s="44">
        <v>406.1</v>
      </c>
      <c r="IC95" s="44">
        <v>470.71000000000004</v>
      </c>
      <c r="ID95" s="44">
        <v>539.24</v>
      </c>
      <c r="IE95" s="44">
        <v>523.476</v>
      </c>
      <c r="IF95" s="44">
        <v>464.31</v>
      </c>
      <c r="IG95" s="44">
        <v>569.20000000000005</v>
      </c>
      <c r="IH95" s="44">
        <v>542.22799999999995</v>
      </c>
      <c r="II95" s="44">
        <v>619.69000000000005</v>
      </c>
      <c r="IJ95" s="44">
        <v>579.65</v>
      </c>
      <c r="IK95" s="43">
        <v>539.04999999999995</v>
      </c>
      <c r="IL95" s="43">
        <v>506.13</v>
      </c>
      <c r="IM95" s="43">
        <v>478.89</v>
      </c>
      <c r="IN95" s="43">
        <v>384.53</v>
      </c>
      <c r="IO95" s="43">
        <v>515.15800000000002</v>
      </c>
      <c r="IP95" s="43">
        <v>525.29300000000001</v>
      </c>
      <c r="IQ95" s="43">
        <v>562.69100000000003</v>
      </c>
      <c r="IR95" s="43">
        <v>446.12</v>
      </c>
      <c r="IS95" s="45">
        <v>650.00199999999995</v>
      </c>
      <c r="IT95" s="45">
        <v>671.47</v>
      </c>
      <c r="IU95" s="45">
        <v>591.28</v>
      </c>
      <c r="IV95" s="45">
        <v>632.37</v>
      </c>
      <c r="IW95" s="45">
        <v>475.75</v>
      </c>
      <c r="IX95" s="45">
        <v>525.13</v>
      </c>
      <c r="IY95" s="45">
        <v>487.32184999999998</v>
      </c>
      <c r="IZ95" s="45">
        <v>379.74</v>
      </c>
      <c r="JA95" s="45">
        <v>517.70000000000005</v>
      </c>
      <c r="JB95" s="45">
        <v>528.91</v>
      </c>
      <c r="JC95" s="45">
        <v>558.79999999999995</v>
      </c>
      <c r="JD95" s="45">
        <v>222.26</v>
      </c>
      <c r="JE95" s="45">
        <v>438.95</v>
      </c>
      <c r="JF95" s="45">
        <v>689.03</v>
      </c>
      <c r="JG95" s="45">
        <v>653.61</v>
      </c>
      <c r="JH95" s="45">
        <v>754.65</v>
      </c>
      <c r="JI95" s="45">
        <v>562.79999999999995</v>
      </c>
      <c r="JJ95" s="45">
        <v>622.14</v>
      </c>
      <c r="JK95" s="45">
        <v>578.45000000000005</v>
      </c>
      <c r="JL95" s="45">
        <v>444.7</v>
      </c>
      <c r="JM95" s="45">
        <v>3766.81</v>
      </c>
      <c r="JN95" s="45">
        <v>2134.9699999999998</v>
      </c>
      <c r="JO95" s="45">
        <v>2173.44</v>
      </c>
      <c r="JP95" s="45">
        <v>546.29999999999995</v>
      </c>
      <c r="JQ95" s="45">
        <v>658.4</v>
      </c>
      <c r="JR95" s="45">
        <v>649.42999999999995</v>
      </c>
      <c r="JS95" s="45">
        <v>665.44</v>
      </c>
      <c r="JT95" s="45">
        <v>998.97</v>
      </c>
      <c r="JU95" s="45">
        <v>558.23699999999997</v>
      </c>
      <c r="JV95" s="45">
        <v>554.08000000000004</v>
      </c>
      <c r="JW95" s="45">
        <v>668.54</v>
      </c>
      <c r="JX95" s="45">
        <v>787.24199999999996</v>
      </c>
      <c r="JY95" s="45">
        <v>654.45000000000005</v>
      </c>
      <c r="JZ95" s="45">
        <v>815.34500000000003</v>
      </c>
      <c r="KA95" s="45">
        <v>680.67700000000002</v>
      </c>
      <c r="KB95" s="45">
        <v>672.875</v>
      </c>
      <c r="KC95" s="45">
        <v>958.83299999999997</v>
      </c>
      <c r="KD95" s="45">
        <v>876.94</v>
      </c>
      <c r="KE95" s="45">
        <v>702.21</v>
      </c>
      <c r="KF95" s="45">
        <v>574.68700000000001</v>
      </c>
      <c r="KG95" s="45">
        <v>569.09</v>
      </c>
      <c r="KH95" s="45">
        <v>486.77600000000001</v>
      </c>
      <c r="KI95" s="45">
        <v>565.87</v>
      </c>
      <c r="KJ95" s="45">
        <v>431.911</v>
      </c>
      <c r="KK95" s="45">
        <v>535.93100000000004</v>
      </c>
      <c r="KL95" s="45">
        <v>595.78800000000001</v>
      </c>
      <c r="KM95" s="45">
        <v>515.13300000000004</v>
      </c>
      <c r="KN95" s="45">
        <v>458.10599999999999</v>
      </c>
      <c r="KO95" s="45">
        <v>700.9</v>
      </c>
      <c r="KP95" s="45">
        <v>699.17899999999997</v>
      </c>
      <c r="KQ95" s="45">
        <v>749.2</v>
      </c>
      <c r="KR95" s="45">
        <v>629.23699999999997</v>
      </c>
      <c r="KS95" s="45">
        <v>503.77800000000002</v>
      </c>
      <c r="KT95" s="45">
        <v>567.59199999999998</v>
      </c>
      <c r="KU95" s="45">
        <v>546.08399999999995</v>
      </c>
      <c r="KV95" s="45">
        <v>556.06100000000004</v>
      </c>
      <c r="KW95" s="45">
        <v>540.95600000000002</v>
      </c>
      <c r="KX95" s="45">
        <v>614.36900000000003</v>
      </c>
      <c r="KY95" s="45">
        <v>616.17700000000002</v>
      </c>
      <c r="KZ95" s="45">
        <v>550.28800000000001</v>
      </c>
      <c r="LA95" s="45">
        <v>698.98599999999999</v>
      </c>
      <c r="LB95" s="45">
        <v>683.53800000000001</v>
      </c>
      <c r="LC95" s="45">
        <v>656.97799999999995</v>
      </c>
      <c r="LD95" s="45">
        <v>666.63300000000004</v>
      </c>
      <c r="LE95" s="45">
        <v>566.18399999999997</v>
      </c>
      <c r="LF95" s="45">
        <v>549.72400000000005</v>
      </c>
      <c r="LG95" s="45">
        <v>493.81700000000001</v>
      </c>
      <c r="LH95" s="45">
        <v>540.77599999999995</v>
      </c>
      <c r="LI95" s="45">
        <v>446.00900000000001</v>
      </c>
      <c r="LJ95" s="45">
        <v>607.87300000000005</v>
      </c>
      <c r="LK95" s="45">
        <v>790.33799999999997</v>
      </c>
      <c r="LL95" s="45">
        <v>554.96299999999997</v>
      </c>
      <c r="LM95" s="45">
        <v>650.68399999999997</v>
      </c>
      <c r="LN95" s="45">
        <v>666.77499999999998</v>
      </c>
      <c r="LO95" s="45">
        <v>694.875</v>
      </c>
      <c r="LP95" s="45">
        <v>416.27699999999999</v>
      </c>
      <c r="LQ95" s="45">
        <v>143.44499999999999</v>
      </c>
      <c r="LR95" s="45">
        <v>606.00099999999998</v>
      </c>
      <c r="LS95" s="45">
        <v>278.875</v>
      </c>
      <c r="LT95" s="45">
        <v>403.43700000000001</v>
      </c>
      <c r="LU95" s="43"/>
      <c r="LV95" s="43"/>
      <c r="LW95" s="43"/>
      <c r="LX95" s="43"/>
    </row>
    <row r="96" spans="1:336" s="29" customFormat="1" x14ac:dyDescent="0.3">
      <c r="A96" s="33" t="s">
        <v>25</v>
      </c>
      <c r="B96" s="46" t="s">
        <v>89</v>
      </c>
      <c r="C96" s="43" t="s">
        <v>86</v>
      </c>
      <c r="D96" s="44" t="s">
        <v>86</v>
      </c>
      <c r="E96" s="44" t="s">
        <v>86</v>
      </c>
      <c r="F96" s="44" t="s">
        <v>86</v>
      </c>
      <c r="G96" s="44" t="s">
        <v>86</v>
      </c>
      <c r="H96" s="44" t="s">
        <v>86</v>
      </c>
      <c r="I96" s="44" t="s">
        <v>86</v>
      </c>
      <c r="J96" s="44" t="s">
        <v>86</v>
      </c>
      <c r="K96" s="44" t="s">
        <v>86</v>
      </c>
      <c r="L96" s="44" t="s">
        <v>86</v>
      </c>
      <c r="M96" s="44" t="s">
        <v>86</v>
      </c>
      <c r="N96" s="44" t="s">
        <v>86</v>
      </c>
      <c r="O96" s="44" t="s">
        <v>86</v>
      </c>
      <c r="P96" s="44" t="s">
        <v>86</v>
      </c>
      <c r="Q96" s="44" t="s">
        <v>86</v>
      </c>
      <c r="R96" s="44" t="s">
        <v>86</v>
      </c>
      <c r="S96" s="44" t="s">
        <v>86</v>
      </c>
      <c r="T96" s="44" t="s">
        <v>86</v>
      </c>
      <c r="U96" s="44" t="s">
        <v>86</v>
      </c>
      <c r="V96" s="44" t="s">
        <v>86</v>
      </c>
      <c r="W96" s="44" t="s">
        <v>86</v>
      </c>
      <c r="X96" s="44" t="s">
        <v>86</v>
      </c>
      <c r="Y96" s="44" t="s">
        <v>86</v>
      </c>
      <c r="Z96" s="44" t="s">
        <v>86</v>
      </c>
      <c r="AA96" s="44" t="s">
        <v>86</v>
      </c>
      <c r="AB96" s="44" t="s">
        <v>86</v>
      </c>
      <c r="AC96" s="44" t="s">
        <v>86</v>
      </c>
      <c r="AD96" s="44" t="s">
        <v>86</v>
      </c>
      <c r="AE96" s="44" t="s">
        <v>86</v>
      </c>
      <c r="AF96" s="44" t="s">
        <v>86</v>
      </c>
      <c r="AG96" s="44" t="s">
        <v>86</v>
      </c>
      <c r="AH96" s="44" t="s">
        <v>86</v>
      </c>
      <c r="AI96" s="44" t="s">
        <v>86</v>
      </c>
      <c r="AJ96" s="44" t="s">
        <v>86</v>
      </c>
      <c r="AK96" s="44">
        <v>42.74</v>
      </c>
      <c r="AL96" s="44">
        <v>120.78</v>
      </c>
      <c r="AM96" s="44">
        <v>27.04</v>
      </c>
      <c r="AN96" s="44">
        <v>40.700000000000003</v>
      </c>
      <c r="AO96" s="44">
        <v>40</v>
      </c>
      <c r="AP96" s="44">
        <v>14.04</v>
      </c>
      <c r="AQ96" s="44">
        <v>27.65</v>
      </c>
      <c r="AR96" s="44">
        <v>27.65</v>
      </c>
      <c r="AS96" s="44">
        <v>98.23</v>
      </c>
      <c r="AT96" s="44">
        <v>137.85</v>
      </c>
      <c r="AU96" s="44">
        <v>101.15</v>
      </c>
      <c r="AV96" s="44">
        <v>32.64</v>
      </c>
      <c r="AW96" s="44">
        <v>67.5</v>
      </c>
      <c r="AX96" s="44">
        <v>85.71</v>
      </c>
      <c r="AY96" s="44">
        <v>43.96</v>
      </c>
      <c r="AZ96" s="44" t="s">
        <v>86</v>
      </c>
      <c r="BA96" s="44">
        <v>28.85</v>
      </c>
      <c r="BB96" s="44">
        <v>56.3</v>
      </c>
      <c r="BC96" s="44">
        <v>127.44</v>
      </c>
      <c r="BD96" s="44">
        <v>14.65</v>
      </c>
      <c r="BE96" s="44">
        <v>337.09</v>
      </c>
      <c r="BF96" s="44">
        <v>28.15</v>
      </c>
      <c r="BG96" s="44">
        <v>294.51</v>
      </c>
      <c r="BH96" s="44" t="s">
        <v>86</v>
      </c>
      <c r="BI96" s="44">
        <v>150.19999999999999</v>
      </c>
      <c r="BJ96" s="44">
        <v>84.52</v>
      </c>
      <c r="BK96" s="44">
        <v>82.18</v>
      </c>
      <c r="BL96" s="44">
        <v>148.88</v>
      </c>
      <c r="BM96" s="44" t="s">
        <v>86</v>
      </c>
      <c r="BN96" s="44" t="s">
        <v>86</v>
      </c>
      <c r="BO96" s="44">
        <v>167.72</v>
      </c>
      <c r="BP96" s="44">
        <v>150.68</v>
      </c>
      <c r="BQ96" s="44">
        <v>191.29</v>
      </c>
      <c r="BR96" s="44">
        <v>94.35</v>
      </c>
      <c r="BS96" s="44">
        <v>244.55</v>
      </c>
      <c r="BT96" s="44">
        <v>81</v>
      </c>
      <c r="BU96" s="44">
        <v>72.38</v>
      </c>
      <c r="BV96" s="44">
        <v>33</v>
      </c>
      <c r="BW96" s="44">
        <v>167.37</v>
      </c>
      <c r="BX96" s="44">
        <v>169.79</v>
      </c>
      <c r="BY96" s="44">
        <v>45.12</v>
      </c>
      <c r="BZ96" s="44">
        <v>52.08</v>
      </c>
      <c r="CA96" s="44">
        <v>179.08</v>
      </c>
      <c r="CB96" s="44">
        <v>120.797</v>
      </c>
      <c r="CC96" s="44"/>
      <c r="CD96" s="44">
        <v>51.95</v>
      </c>
      <c r="CE96" s="44">
        <v>150</v>
      </c>
      <c r="CF96" s="44">
        <v>80.81</v>
      </c>
      <c r="CG96" s="44">
        <v>186.48</v>
      </c>
      <c r="CH96" s="44">
        <v>120.5</v>
      </c>
      <c r="CI96" s="44">
        <v>181.73</v>
      </c>
      <c r="CJ96" s="44">
        <v>58.63</v>
      </c>
      <c r="CK96" s="44">
        <v>119.08</v>
      </c>
      <c r="CL96" s="44">
        <v>151.65</v>
      </c>
      <c r="CM96" s="44">
        <v>195.45</v>
      </c>
      <c r="CN96" s="44">
        <v>354.06</v>
      </c>
      <c r="CO96" s="44">
        <v>176.5</v>
      </c>
      <c r="CP96" s="44">
        <v>260.04000000000002</v>
      </c>
      <c r="CQ96" s="44">
        <v>347.66</v>
      </c>
      <c r="CR96" s="44">
        <v>198.88</v>
      </c>
      <c r="CS96" s="44">
        <v>52.83</v>
      </c>
      <c r="CT96" s="44">
        <v>227.14</v>
      </c>
      <c r="CU96" s="44">
        <v>410.15</v>
      </c>
      <c r="CV96" s="44">
        <v>32.42</v>
      </c>
      <c r="CW96" s="44" t="s">
        <v>86</v>
      </c>
      <c r="CX96" s="44" t="s">
        <v>86</v>
      </c>
      <c r="CY96" s="44" t="s">
        <v>86</v>
      </c>
      <c r="CZ96" s="44">
        <v>226.71</v>
      </c>
      <c r="DA96" s="44">
        <v>285.66000000000003</v>
      </c>
      <c r="DB96" s="44">
        <v>137.25</v>
      </c>
      <c r="DC96" s="44">
        <v>390.93</v>
      </c>
      <c r="DD96" s="44">
        <v>152.4</v>
      </c>
      <c r="DE96" s="44">
        <v>141.03</v>
      </c>
      <c r="DF96" s="44">
        <v>56</v>
      </c>
      <c r="DG96" s="44">
        <v>84.06</v>
      </c>
      <c r="DH96" s="44">
        <v>29.04</v>
      </c>
      <c r="DI96" s="44">
        <v>14.03</v>
      </c>
      <c r="DJ96" s="44">
        <v>28.55</v>
      </c>
      <c r="DK96" s="44">
        <v>141</v>
      </c>
      <c r="DL96" s="44">
        <v>242</v>
      </c>
      <c r="DM96" s="44">
        <v>290.39999999999998</v>
      </c>
      <c r="DN96" s="44">
        <v>358.15</v>
      </c>
      <c r="DO96" s="44">
        <v>144.08000000000001</v>
      </c>
      <c r="DP96" s="44">
        <v>236.1</v>
      </c>
      <c r="DQ96" s="44">
        <v>242.64</v>
      </c>
      <c r="DR96" s="44">
        <v>103.84</v>
      </c>
      <c r="DS96" s="44">
        <v>111.49</v>
      </c>
      <c r="DT96" s="44">
        <v>69.19</v>
      </c>
      <c r="DU96" s="44" t="s">
        <v>86</v>
      </c>
      <c r="DV96" s="44">
        <v>126.1</v>
      </c>
      <c r="DW96" s="44">
        <v>151.69999999999999</v>
      </c>
      <c r="DX96" s="44">
        <v>0.39</v>
      </c>
      <c r="DY96" s="44">
        <v>392.23</v>
      </c>
      <c r="DZ96" s="44">
        <v>264.63</v>
      </c>
      <c r="EA96" s="44">
        <v>382.09</v>
      </c>
      <c r="EB96" s="44">
        <v>351.97</v>
      </c>
      <c r="EC96" s="44">
        <v>112.38</v>
      </c>
      <c r="ED96" s="44">
        <v>129.43</v>
      </c>
      <c r="EE96" s="44">
        <v>169.44</v>
      </c>
      <c r="EF96" s="44">
        <v>85.64</v>
      </c>
      <c r="EG96" s="44">
        <v>113.63</v>
      </c>
      <c r="EH96" s="44">
        <v>143.74</v>
      </c>
      <c r="EI96" s="44">
        <v>263.31</v>
      </c>
      <c r="EJ96" s="44">
        <v>258.14</v>
      </c>
      <c r="EK96" s="44">
        <v>753.57</v>
      </c>
      <c r="EL96" s="44">
        <v>522.66</v>
      </c>
      <c r="EM96" s="44">
        <v>795.11</v>
      </c>
      <c r="EN96" s="44">
        <v>330.01</v>
      </c>
      <c r="EO96" s="44">
        <v>225.29</v>
      </c>
      <c r="EP96" s="44">
        <v>140.26</v>
      </c>
      <c r="EQ96" s="44">
        <v>974.8</v>
      </c>
      <c r="ER96" s="44">
        <v>247.68</v>
      </c>
      <c r="ES96" s="44">
        <v>213.34</v>
      </c>
      <c r="ET96" s="44">
        <v>215.09</v>
      </c>
      <c r="EU96" s="44">
        <v>284.06</v>
      </c>
      <c r="EV96" s="44">
        <v>43.32</v>
      </c>
      <c r="EW96" s="44">
        <v>287.72000000000003</v>
      </c>
      <c r="EX96" s="44">
        <v>850</v>
      </c>
      <c r="EY96" s="44">
        <v>1623.73</v>
      </c>
      <c r="EZ96" s="44">
        <v>469.53</v>
      </c>
      <c r="FA96" s="44"/>
      <c r="FB96" s="44">
        <v>495.12</v>
      </c>
      <c r="FC96" s="44">
        <v>570.91</v>
      </c>
      <c r="FD96" s="44">
        <v>326.86</v>
      </c>
      <c r="FE96" s="44">
        <v>348.27</v>
      </c>
      <c r="FF96" s="44">
        <v>331.99</v>
      </c>
      <c r="FG96" s="44">
        <v>461.31</v>
      </c>
      <c r="FH96" s="44">
        <v>526.42999999999995</v>
      </c>
      <c r="FI96" s="44">
        <v>362.03</v>
      </c>
      <c r="FJ96" s="44">
        <v>1098.99</v>
      </c>
      <c r="FK96" s="44">
        <v>825.59</v>
      </c>
      <c r="FL96" s="44">
        <v>508.45</v>
      </c>
      <c r="FM96" s="44">
        <v>431.65</v>
      </c>
      <c r="FN96" s="44">
        <v>505.51</v>
      </c>
      <c r="FO96" s="44">
        <v>341.22</v>
      </c>
      <c r="FP96" s="44">
        <v>459.94</v>
      </c>
      <c r="FQ96" s="44">
        <v>304.8</v>
      </c>
      <c r="FR96" s="44">
        <v>548.39</v>
      </c>
      <c r="FS96" s="44" t="s">
        <v>87</v>
      </c>
      <c r="FT96" s="44" t="s">
        <v>87</v>
      </c>
      <c r="FU96" s="44">
        <v>1490.02</v>
      </c>
      <c r="FV96" s="44">
        <v>981.38</v>
      </c>
      <c r="FW96" s="44">
        <v>678.17</v>
      </c>
      <c r="FX96" s="44">
        <v>359.39</v>
      </c>
      <c r="FY96" s="44">
        <v>317.05</v>
      </c>
      <c r="FZ96" s="44">
        <v>522.99</v>
      </c>
      <c r="GA96" s="44">
        <v>290.98</v>
      </c>
      <c r="GB96" s="44">
        <v>116.01</v>
      </c>
      <c r="GC96" s="44">
        <v>349.9</v>
      </c>
      <c r="GD96" s="44">
        <v>736.19</v>
      </c>
      <c r="GE96" s="44">
        <v>966.66</v>
      </c>
      <c r="GF96" s="44">
        <v>931.21</v>
      </c>
      <c r="GG96" s="44">
        <v>1605.09</v>
      </c>
      <c r="GH96" s="44">
        <v>1665.74</v>
      </c>
      <c r="GI96" s="44">
        <v>1021.12</v>
      </c>
      <c r="GJ96" s="44">
        <v>802.86</v>
      </c>
      <c r="GK96" s="44">
        <v>967.69</v>
      </c>
      <c r="GL96" s="44">
        <v>552.82000000000005</v>
      </c>
      <c r="GM96" s="44">
        <v>283.94</v>
      </c>
      <c r="GN96" s="44">
        <v>274.70999999999998</v>
      </c>
      <c r="GO96" s="44">
        <v>319.77999999999997</v>
      </c>
      <c r="GP96" s="44">
        <v>408.91</v>
      </c>
      <c r="GQ96" s="44">
        <v>754.27</v>
      </c>
      <c r="GR96" s="44">
        <v>755.84</v>
      </c>
      <c r="GS96" s="44">
        <v>1617</v>
      </c>
      <c r="GT96" s="44">
        <v>739.46</v>
      </c>
      <c r="GU96" s="44">
        <v>1077.07</v>
      </c>
      <c r="GV96" s="44">
        <v>728.67</v>
      </c>
      <c r="GW96" s="44">
        <v>539.11</v>
      </c>
      <c r="GX96" s="44">
        <v>1059.28</v>
      </c>
      <c r="GY96" s="44">
        <v>489.96</v>
      </c>
      <c r="GZ96" s="44">
        <v>117.62</v>
      </c>
      <c r="HA96" s="44">
        <v>452.43</v>
      </c>
      <c r="HB96" s="44">
        <v>458.93</v>
      </c>
      <c r="HC96" s="44">
        <v>1187.8</v>
      </c>
      <c r="HD96" s="44">
        <v>947.4</v>
      </c>
      <c r="HE96" s="44">
        <v>1186.3499999999999</v>
      </c>
      <c r="HF96" s="44">
        <v>1015.78</v>
      </c>
      <c r="HG96" s="44">
        <v>2794.06</v>
      </c>
      <c r="HH96" s="44">
        <v>1006.56</v>
      </c>
      <c r="HI96" s="44">
        <v>988.39</v>
      </c>
      <c r="HJ96" s="44">
        <v>506.56</v>
      </c>
      <c r="HK96" s="44">
        <v>392.99</v>
      </c>
      <c r="HL96" s="44">
        <v>870.9</v>
      </c>
      <c r="HM96" s="44">
        <v>730.68</v>
      </c>
      <c r="HN96" s="44">
        <v>1290.8499999999999</v>
      </c>
      <c r="HO96" s="44">
        <v>1737.7619999999999</v>
      </c>
      <c r="HP96" s="44">
        <v>1338.1279999999999</v>
      </c>
      <c r="HQ96" s="44">
        <v>2045.6220000000001</v>
      </c>
      <c r="HR96" s="44">
        <v>934.29899999999998</v>
      </c>
      <c r="HS96" s="44">
        <v>1388.41</v>
      </c>
      <c r="HT96" s="44">
        <v>1774.16</v>
      </c>
      <c r="HU96" s="44">
        <v>2118.8939999999998</v>
      </c>
      <c r="HV96" s="44">
        <v>1471.57</v>
      </c>
      <c r="HW96" s="44">
        <v>1473.03</v>
      </c>
      <c r="HX96" s="44">
        <v>690.46</v>
      </c>
      <c r="HY96" s="44">
        <v>520.52</v>
      </c>
      <c r="HZ96" s="44">
        <v>1105.79</v>
      </c>
      <c r="IA96" s="44">
        <v>1071.05</v>
      </c>
      <c r="IB96" s="44">
        <v>1947.59</v>
      </c>
      <c r="IC96" s="44">
        <v>2692.58</v>
      </c>
      <c r="ID96" s="44">
        <v>1820.2</v>
      </c>
      <c r="IE96" s="44">
        <v>2145.2600000000002</v>
      </c>
      <c r="IF96" s="44">
        <v>1798.49</v>
      </c>
      <c r="IG96" s="44">
        <v>1438.72</v>
      </c>
      <c r="IH96" s="44">
        <v>1288.8499999999999</v>
      </c>
      <c r="II96" s="44">
        <v>829.32</v>
      </c>
      <c r="IJ96" s="44">
        <v>428.07</v>
      </c>
      <c r="IK96" s="43">
        <v>904.09</v>
      </c>
      <c r="IL96" s="43">
        <v>1113.72</v>
      </c>
      <c r="IM96" s="43">
        <v>1725.65</v>
      </c>
      <c r="IN96" s="43">
        <v>1750.67</v>
      </c>
      <c r="IO96" s="43">
        <v>1672.51</v>
      </c>
      <c r="IP96" s="43">
        <v>2084.6889999999999</v>
      </c>
      <c r="IQ96" s="43">
        <v>2283.1370000000002</v>
      </c>
      <c r="IR96" s="43">
        <v>1567.91</v>
      </c>
      <c r="IS96" s="45">
        <v>1739.5840000000001</v>
      </c>
      <c r="IT96" s="45">
        <v>1621.11</v>
      </c>
      <c r="IU96" s="45">
        <v>513.03</v>
      </c>
      <c r="IV96" s="45">
        <v>1051.56</v>
      </c>
      <c r="IW96" s="45">
        <v>605.6</v>
      </c>
      <c r="IX96" s="45">
        <v>1605.3610000000001</v>
      </c>
      <c r="IY96" s="45">
        <v>2016.704</v>
      </c>
      <c r="IZ96" s="45">
        <v>2921.43</v>
      </c>
      <c r="JA96" s="45">
        <v>3093.38</v>
      </c>
      <c r="JB96" s="45">
        <v>2554.6999999999998</v>
      </c>
      <c r="JC96" s="45">
        <v>2052.9499999999998</v>
      </c>
      <c r="JD96" s="45">
        <v>2656.06</v>
      </c>
      <c r="JE96" s="45">
        <v>1759.66</v>
      </c>
      <c r="JF96" s="45">
        <v>2972.98</v>
      </c>
      <c r="JG96" s="45">
        <v>939.5</v>
      </c>
      <c r="JH96" s="45">
        <v>1263.4100000000001</v>
      </c>
      <c r="JI96" s="45">
        <v>1217.5</v>
      </c>
      <c r="JJ96" s="45">
        <v>1280.45</v>
      </c>
      <c r="JK96" s="45">
        <v>2005.45</v>
      </c>
      <c r="JL96" s="45">
        <v>4344.03</v>
      </c>
      <c r="JM96" s="45">
        <v>3151.49</v>
      </c>
      <c r="JN96" s="45">
        <v>3509.29</v>
      </c>
      <c r="JO96" s="45">
        <v>3279.77</v>
      </c>
      <c r="JP96" s="45">
        <v>2146.54</v>
      </c>
      <c r="JQ96" s="45">
        <v>2217.14</v>
      </c>
      <c r="JR96" s="45">
        <v>1604.82</v>
      </c>
      <c r="JS96" s="45">
        <v>2008.49</v>
      </c>
      <c r="JT96" s="45">
        <v>751.48</v>
      </c>
      <c r="JU96" s="45">
        <v>1037.934</v>
      </c>
      <c r="JV96" s="45">
        <v>1552.43</v>
      </c>
      <c r="JW96" s="45">
        <v>2593.4650000000001</v>
      </c>
      <c r="JX96" s="45">
        <v>2260.3989999999999</v>
      </c>
      <c r="JY96" s="45">
        <v>2490.5320000000002</v>
      </c>
      <c r="JZ96" s="45">
        <v>2222.9450000000002</v>
      </c>
      <c r="KA96" s="45">
        <v>2869.123</v>
      </c>
      <c r="KB96" s="45">
        <v>1919.162</v>
      </c>
      <c r="KC96" s="45">
        <v>2144.2130000000002</v>
      </c>
      <c r="KD96" s="45">
        <v>1498.126</v>
      </c>
      <c r="KE96" s="45">
        <v>2356.6930000000002</v>
      </c>
      <c r="KF96" s="45">
        <v>1771.482</v>
      </c>
      <c r="KG96" s="45">
        <v>2755.3870000000002</v>
      </c>
      <c r="KH96" s="45">
        <v>1252.28</v>
      </c>
      <c r="KI96" s="45">
        <v>1971.71</v>
      </c>
      <c r="KJ96" s="45">
        <v>2177.4070000000002</v>
      </c>
      <c r="KK96" s="45">
        <v>3046.0250000000001</v>
      </c>
      <c r="KL96" s="45">
        <v>3662.1280000000002</v>
      </c>
      <c r="KM96" s="45">
        <v>4419.2929999999997</v>
      </c>
      <c r="KN96" s="45">
        <v>3713.6</v>
      </c>
      <c r="KO96" s="45">
        <v>1637.4580000000001</v>
      </c>
      <c r="KP96" s="45">
        <v>1440.5540000000001</v>
      </c>
      <c r="KQ96" s="45">
        <v>1475.1089999999999</v>
      </c>
      <c r="KR96" s="45">
        <v>806.12</v>
      </c>
      <c r="KS96" s="45">
        <v>636.27700000000004</v>
      </c>
      <c r="KT96" s="45">
        <v>1743.2819999999999</v>
      </c>
      <c r="KU96" s="45">
        <v>2597.8020000000001</v>
      </c>
      <c r="KV96" s="45">
        <v>4536.4489999999996</v>
      </c>
      <c r="KW96" s="45">
        <v>3219.24</v>
      </c>
      <c r="KX96" s="45">
        <v>2890.9119999999998</v>
      </c>
      <c r="KY96" s="45">
        <v>2605.0619999999999</v>
      </c>
      <c r="KZ96" s="45">
        <v>1881.49</v>
      </c>
      <c r="LA96" s="45">
        <v>2179.23</v>
      </c>
      <c r="LB96" s="45">
        <v>2100.71</v>
      </c>
      <c r="LC96" s="45">
        <v>3108.2660000000001</v>
      </c>
      <c r="LD96" s="45">
        <v>1383.0650000000001</v>
      </c>
      <c r="LE96" s="45">
        <v>1236.402</v>
      </c>
      <c r="LF96" s="45">
        <v>2364.0459999999998</v>
      </c>
      <c r="LG96" s="45">
        <v>2115.7559999999999</v>
      </c>
      <c r="LH96" s="45">
        <v>2496.7510000000002</v>
      </c>
      <c r="LI96" s="45">
        <v>3231.6480000000001</v>
      </c>
      <c r="LJ96" s="45">
        <v>3916.5239999999999</v>
      </c>
      <c r="LK96" s="45">
        <v>3493.8</v>
      </c>
      <c r="LL96" s="45">
        <v>2889.7080000000001</v>
      </c>
      <c r="LM96" s="45">
        <v>2001.922</v>
      </c>
      <c r="LN96" s="45">
        <v>1445.269</v>
      </c>
      <c r="LO96" s="45">
        <v>1343.615</v>
      </c>
      <c r="LP96" s="45">
        <v>1062.8030000000001</v>
      </c>
      <c r="LQ96" s="45">
        <v>2009.0855999999999</v>
      </c>
      <c r="LR96" s="45">
        <v>2745.5569999999998</v>
      </c>
      <c r="LS96" s="45">
        <v>3039.7653500000001</v>
      </c>
      <c r="LT96" s="45">
        <v>3572.6279599999998</v>
      </c>
      <c r="LU96" s="43"/>
      <c r="LV96" s="43"/>
      <c r="LW96" s="43"/>
      <c r="LX96" s="43"/>
    </row>
    <row r="97" spans="1:336" s="29" customFormat="1" x14ac:dyDescent="0.3">
      <c r="A97" s="33" t="s">
        <v>36</v>
      </c>
      <c r="B97" s="46" t="s">
        <v>89</v>
      </c>
      <c r="C97" s="43" t="s">
        <v>86</v>
      </c>
      <c r="D97" s="44" t="s">
        <v>86</v>
      </c>
      <c r="E97" s="44" t="s">
        <v>86</v>
      </c>
      <c r="F97" s="44" t="s">
        <v>86</v>
      </c>
      <c r="G97" s="44" t="s">
        <v>86</v>
      </c>
      <c r="H97" s="44" t="s">
        <v>86</v>
      </c>
      <c r="I97" s="44" t="s">
        <v>86</v>
      </c>
      <c r="J97" s="44" t="s">
        <v>86</v>
      </c>
      <c r="K97" s="44" t="s">
        <v>86</v>
      </c>
      <c r="L97" s="44" t="s">
        <v>86</v>
      </c>
      <c r="M97" s="44" t="s">
        <v>86</v>
      </c>
      <c r="N97" s="44" t="s">
        <v>86</v>
      </c>
      <c r="O97" s="44" t="s">
        <v>86</v>
      </c>
      <c r="P97" s="44" t="s">
        <v>86</v>
      </c>
      <c r="Q97" s="44" t="s">
        <v>86</v>
      </c>
      <c r="R97" s="44" t="s">
        <v>86</v>
      </c>
      <c r="S97" s="44" t="s">
        <v>86</v>
      </c>
      <c r="T97" s="44" t="s">
        <v>86</v>
      </c>
      <c r="U97" s="44" t="s">
        <v>86</v>
      </c>
      <c r="V97" s="44" t="s">
        <v>86</v>
      </c>
      <c r="W97" s="44" t="s">
        <v>86</v>
      </c>
      <c r="X97" s="44" t="s">
        <v>86</v>
      </c>
      <c r="Y97" s="44" t="s">
        <v>86</v>
      </c>
      <c r="Z97" s="44" t="s">
        <v>86</v>
      </c>
      <c r="AA97" s="44" t="s">
        <v>86</v>
      </c>
      <c r="AB97" s="44" t="s">
        <v>86</v>
      </c>
      <c r="AC97" s="44" t="s">
        <v>86</v>
      </c>
      <c r="AD97" s="44" t="s">
        <v>86</v>
      </c>
      <c r="AE97" s="44" t="s">
        <v>86</v>
      </c>
      <c r="AF97" s="44" t="s">
        <v>86</v>
      </c>
      <c r="AG97" s="44" t="s">
        <v>86</v>
      </c>
      <c r="AH97" s="44" t="s">
        <v>86</v>
      </c>
      <c r="AI97" s="44" t="s">
        <v>86</v>
      </c>
      <c r="AJ97" s="44" t="s">
        <v>86</v>
      </c>
      <c r="AK97" s="44" t="s">
        <v>86</v>
      </c>
      <c r="AL97" s="44" t="s">
        <v>86</v>
      </c>
      <c r="AM97" s="44" t="s">
        <v>86</v>
      </c>
      <c r="AN97" s="44" t="s">
        <v>86</v>
      </c>
      <c r="AO97" s="44" t="s">
        <v>86</v>
      </c>
      <c r="AP97" s="44" t="s">
        <v>86</v>
      </c>
      <c r="AQ97" s="44" t="s">
        <v>86</v>
      </c>
      <c r="AR97" s="44" t="s">
        <v>86</v>
      </c>
      <c r="AS97" s="44" t="s">
        <v>86</v>
      </c>
      <c r="AT97" s="44" t="s">
        <v>86</v>
      </c>
      <c r="AU97" s="44" t="s">
        <v>86</v>
      </c>
      <c r="AV97" s="44" t="s">
        <v>86</v>
      </c>
      <c r="AW97" s="44" t="s">
        <v>86</v>
      </c>
      <c r="AX97" s="44" t="s">
        <v>86</v>
      </c>
      <c r="AY97" s="44" t="s">
        <v>86</v>
      </c>
      <c r="AZ97" s="44" t="s">
        <v>86</v>
      </c>
      <c r="BA97" s="44" t="s">
        <v>86</v>
      </c>
      <c r="BB97" s="44" t="s">
        <v>86</v>
      </c>
      <c r="BC97" s="44" t="s">
        <v>86</v>
      </c>
      <c r="BD97" s="44" t="s">
        <v>86</v>
      </c>
      <c r="BE97" s="44" t="s">
        <v>86</v>
      </c>
      <c r="BF97" s="44" t="s">
        <v>86</v>
      </c>
      <c r="BG97" s="44" t="s">
        <v>86</v>
      </c>
      <c r="BH97" s="44" t="s">
        <v>86</v>
      </c>
      <c r="BI97" s="44" t="s">
        <v>86</v>
      </c>
      <c r="BJ97" s="44" t="s">
        <v>86</v>
      </c>
      <c r="BK97" s="44" t="s">
        <v>86</v>
      </c>
      <c r="BL97" s="44" t="s">
        <v>86</v>
      </c>
      <c r="BM97" s="44" t="s">
        <v>86</v>
      </c>
      <c r="BN97" s="44" t="s">
        <v>86</v>
      </c>
      <c r="BO97" s="44" t="s">
        <v>86</v>
      </c>
      <c r="BP97" s="44" t="s">
        <v>86</v>
      </c>
      <c r="BQ97" s="44" t="s">
        <v>86</v>
      </c>
      <c r="BR97" s="44" t="s">
        <v>86</v>
      </c>
      <c r="BS97" s="44" t="s">
        <v>86</v>
      </c>
      <c r="BT97" s="44" t="s">
        <v>86</v>
      </c>
      <c r="BU97" s="44" t="s">
        <v>86</v>
      </c>
      <c r="BV97" s="44" t="s">
        <v>86</v>
      </c>
      <c r="BW97" s="44" t="s">
        <v>86</v>
      </c>
      <c r="BX97" s="44" t="s">
        <v>86</v>
      </c>
      <c r="BY97" s="44" t="s">
        <v>86</v>
      </c>
      <c r="BZ97" s="44" t="s">
        <v>86</v>
      </c>
      <c r="CA97" s="44" t="s">
        <v>86</v>
      </c>
      <c r="CB97" s="44" t="s">
        <v>86</v>
      </c>
      <c r="CC97" s="44" t="s">
        <v>86</v>
      </c>
      <c r="CD97" s="44" t="s">
        <v>86</v>
      </c>
      <c r="CE97" s="44" t="s">
        <v>86</v>
      </c>
      <c r="CF97" s="44" t="s">
        <v>86</v>
      </c>
      <c r="CG97" s="44" t="s">
        <v>86</v>
      </c>
      <c r="CH97" s="44" t="s">
        <v>86</v>
      </c>
      <c r="CI97" s="44" t="s">
        <v>86</v>
      </c>
      <c r="CJ97" s="44" t="s">
        <v>86</v>
      </c>
      <c r="CK97" s="44" t="s">
        <v>86</v>
      </c>
      <c r="CL97" s="44" t="s">
        <v>86</v>
      </c>
      <c r="CM97" s="44" t="s">
        <v>86</v>
      </c>
      <c r="CN97" s="44" t="s">
        <v>86</v>
      </c>
      <c r="CO97" s="44" t="s">
        <v>86</v>
      </c>
      <c r="CP97" s="44" t="s">
        <v>86</v>
      </c>
      <c r="CQ97" s="44" t="s">
        <v>86</v>
      </c>
      <c r="CR97" s="44" t="s">
        <v>86</v>
      </c>
      <c r="CS97" s="44" t="s">
        <v>86</v>
      </c>
      <c r="CT97" s="44" t="s">
        <v>86</v>
      </c>
      <c r="CU97" s="44" t="s">
        <v>86</v>
      </c>
      <c r="CV97" s="44" t="s">
        <v>86</v>
      </c>
      <c r="CW97" s="44" t="s">
        <v>86</v>
      </c>
      <c r="CX97" s="44" t="s">
        <v>86</v>
      </c>
      <c r="CY97" s="44" t="s">
        <v>86</v>
      </c>
      <c r="CZ97" s="44" t="s">
        <v>86</v>
      </c>
      <c r="DA97" s="44" t="s">
        <v>86</v>
      </c>
      <c r="DB97" s="44" t="s">
        <v>86</v>
      </c>
      <c r="DC97" s="44" t="s">
        <v>86</v>
      </c>
      <c r="DD97" s="44" t="s">
        <v>86</v>
      </c>
      <c r="DE97" s="44" t="s">
        <v>86</v>
      </c>
      <c r="DF97" s="44" t="s">
        <v>86</v>
      </c>
      <c r="DG97" s="44" t="s">
        <v>86</v>
      </c>
      <c r="DH97" s="44" t="s">
        <v>86</v>
      </c>
      <c r="DI97" s="44" t="s">
        <v>86</v>
      </c>
      <c r="DJ97" s="44" t="s">
        <v>86</v>
      </c>
      <c r="DK97" s="44" t="s">
        <v>86</v>
      </c>
      <c r="DL97" s="44" t="s">
        <v>86</v>
      </c>
      <c r="DM97" s="44" t="s">
        <v>86</v>
      </c>
      <c r="DN97" s="44" t="s">
        <v>86</v>
      </c>
      <c r="DO97" s="44" t="s">
        <v>86</v>
      </c>
      <c r="DP97" s="44" t="s">
        <v>86</v>
      </c>
      <c r="DQ97" s="44" t="s">
        <v>86</v>
      </c>
      <c r="DR97" s="44" t="s">
        <v>86</v>
      </c>
      <c r="DS97" s="44" t="s">
        <v>86</v>
      </c>
      <c r="DT97" s="44" t="s">
        <v>86</v>
      </c>
      <c r="DU97" s="44" t="s">
        <v>86</v>
      </c>
      <c r="DV97" s="44" t="s">
        <v>86</v>
      </c>
      <c r="DW97" s="44" t="s">
        <v>86</v>
      </c>
      <c r="DX97" s="44" t="s">
        <v>86</v>
      </c>
      <c r="DY97" s="44" t="s">
        <v>86</v>
      </c>
      <c r="DZ97" s="44" t="s">
        <v>86</v>
      </c>
      <c r="EA97" s="44" t="s">
        <v>86</v>
      </c>
      <c r="EB97" s="44" t="s">
        <v>86</v>
      </c>
      <c r="EC97" s="44" t="s">
        <v>86</v>
      </c>
      <c r="ED97" s="44" t="s">
        <v>86</v>
      </c>
      <c r="EE97" s="44" t="s">
        <v>86</v>
      </c>
      <c r="EF97" s="44" t="s">
        <v>86</v>
      </c>
      <c r="EG97" s="44" t="s">
        <v>86</v>
      </c>
      <c r="EH97" s="44" t="s">
        <v>86</v>
      </c>
      <c r="EI97" s="44" t="s">
        <v>86</v>
      </c>
      <c r="EJ97" s="44" t="s">
        <v>86</v>
      </c>
      <c r="EK97" s="44" t="s">
        <v>86</v>
      </c>
      <c r="EL97" s="44" t="s">
        <v>86</v>
      </c>
      <c r="EM97" s="44" t="s">
        <v>86</v>
      </c>
      <c r="EN97" s="44" t="s">
        <v>86</v>
      </c>
      <c r="EO97" s="44" t="s">
        <v>86</v>
      </c>
      <c r="EP97" s="44" t="s">
        <v>86</v>
      </c>
      <c r="EQ97" s="44" t="s">
        <v>86</v>
      </c>
      <c r="ER97" s="44" t="s">
        <v>86</v>
      </c>
      <c r="ES97" s="44" t="s">
        <v>86</v>
      </c>
      <c r="ET97" s="44" t="s">
        <v>86</v>
      </c>
      <c r="EU97" s="44" t="s">
        <v>86</v>
      </c>
      <c r="EV97" s="44" t="s">
        <v>86</v>
      </c>
      <c r="EW97" s="44" t="s">
        <v>86</v>
      </c>
      <c r="EX97" s="44" t="s">
        <v>86</v>
      </c>
      <c r="EY97" s="44" t="s">
        <v>86</v>
      </c>
      <c r="EZ97" s="44" t="s">
        <v>86</v>
      </c>
      <c r="FA97" s="44" t="s">
        <v>86</v>
      </c>
      <c r="FB97" s="44" t="s">
        <v>86</v>
      </c>
      <c r="FC97" s="44" t="s">
        <v>86</v>
      </c>
      <c r="FD97" s="44" t="s">
        <v>86</v>
      </c>
      <c r="FE97" s="44" t="s">
        <v>86</v>
      </c>
      <c r="FF97" s="44" t="s">
        <v>86</v>
      </c>
      <c r="FG97" s="44" t="s">
        <v>86</v>
      </c>
      <c r="FH97" s="44" t="s">
        <v>86</v>
      </c>
      <c r="FI97" s="44" t="s">
        <v>86</v>
      </c>
      <c r="FJ97" s="44" t="s">
        <v>86</v>
      </c>
      <c r="FK97" s="44" t="s">
        <v>86</v>
      </c>
      <c r="FL97" s="44" t="s">
        <v>86</v>
      </c>
      <c r="FM97" s="44" t="s">
        <v>86</v>
      </c>
      <c r="FN97" s="44" t="s">
        <v>86</v>
      </c>
      <c r="FO97" s="44" t="s">
        <v>86</v>
      </c>
      <c r="FP97" s="44" t="s">
        <v>86</v>
      </c>
      <c r="FQ97" s="44" t="s">
        <v>86</v>
      </c>
      <c r="FR97" s="44" t="s">
        <v>86</v>
      </c>
      <c r="FS97" s="44" t="s">
        <v>86</v>
      </c>
      <c r="FT97" s="44" t="s">
        <v>86</v>
      </c>
      <c r="FU97" s="44" t="s">
        <v>86</v>
      </c>
      <c r="FV97" s="44" t="s">
        <v>86</v>
      </c>
      <c r="FW97" s="44" t="s">
        <v>86</v>
      </c>
      <c r="FX97" s="44" t="s">
        <v>86</v>
      </c>
      <c r="FY97" s="44" t="s">
        <v>86</v>
      </c>
      <c r="FZ97" s="44" t="s">
        <v>86</v>
      </c>
      <c r="GA97" s="44" t="s">
        <v>86</v>
      </c>
      <c r="GB97" s="44" t="s">
        <v>86</v>
      </c>
      <c r="GC97" s="44" t="s">
        <v>86</v>
      </c>
      <c r="GD97" s="44" t="s">
        <v>86</v>
      </c>
      <c r="GE97" s="44" t="s">
        <v>86</v>
      </c>
      <c r="GF97" s="44" t="s">
        <v>86</v>
      </c>
      <c r="GG97" s="44" t="s">
        <v>86</v>
      </c>
      <c r="GH97" s="44" t="s">
        <v>86</v>
      </c>
      <c r="GI97" s="44" t="s">
        <v>86</v>
      </c>
      <c r="GJ97" s="44" t="s">
        <v>86</v>
      </c>
      <c r="GK97" s="44" t="s">
        <v>86</v>
      </c>
      <c r="GL97" s="44" t="s">
        <v>86</v>
      </c>
      <c r="GM97" s="44" t="s">
        <v>86</v>
      </c>
      <c r="GN97" s="44" t="s">
        <v>86</v>
      </c>
      <c r="GO97" s="44">
        <v>4708.53</v>
      </c>
      <c r="GP97" s="44">
        <v>5946.01</v>
      </c>
      <c r="GQ97" s="44">
        <v>9256.15</v>
      </c>
      <c r="GR97" s="44">
        <v>8273</v>
      </c>
      <c r="GS97" s="44">
        <v>10453.34</v>
      </c>
      <c r="GT97" s="44">
        <v>7678.5</v>
      </c>
      <c r="GU97" s="44">
        <v>7245.89</v>
      </c>
      <c r="GV97" s="44">
        <v>6607.64</v>
      </c>
      <c r="GW97" s="44">
        <v>4300.18</v>
      </c>
      <c r="GX97" s="44">
        <v>11681.2</v>
      </c>
      <c r="GY97" s="44">
        <v>9156.81</v>
      </c>
      <c r="GZ97" s="44">
        <v>5728.68</v>
      </c>
      <c r="HA97" s="44">
        <v>6051.04</v>
      </c>
      <c r="HB97" s="44">
        <v>5033.49</v>
      </c>
      <c r="HC97" s="44">
        <v>6775.32</v>
      </c>
      <c r="HD97" s="44">
        <v>8135.66</v>
      </c>
      <c r="HE97" s="44">
        <v>9888.51</v>
      </c>
      <c r="HF97" s="44">
        <v>8096.98</v>
      </c>
      <c r="HG97" s="44">
        <v>6993.59</v>
      </c>
      <c r="HH97" s="44">
        <v>7307.75</v>
      </c>
      <c r="HI97" s="44">
        <v>6184.17</v>
      </c>
      <c r="HJ97" s="44">
        <v>8104.89</v>
      </c>
      <c r="HK97" s="44">
        <v>6600.0259999999998</v>
      </c>
      <c r="HL97" s="44">
        <v>6539.92</v>
      </c>
      <c r="HM97" s="44">
        <v>7123.53</v>
      </c>
      <c r="HN97" s="44">
        <v>7573.52</v>
      </c>
      <c r="HO97" s="44">
        <v>8211.3700000000008</v>
      </c>
      <c r="HP97" s="44">
        <v>6715.94</v>
      </c>
      <c r="HQ97" s="44">
        <v>7566.8069999999998</v>
      </c>
      <c r="HR97" s="44">
        <v>7461.558</v>
      </c>
      <c r="HS97" s="44">
        <v>7583.88</v>
      </c>
      <c r="HT97" s="44">
        <v>8526.84</v>
      </c>
      <c r="HU97" s="44">
        <v>8096.9840000000004</v>
      </c>
      <c r="HV97" s="44">
        <v>10394.36</v>
      </c>
      <c r="HW97" s="44">
        <v>6331.07</v>
      </c>
      <c r="HX97" s="44">
        <v>7370.42</v>
      </c>
      <c r="HY97" s="44">
        <v>8191.71</v>
      </c>
      <c r="HZ97" s="44">
        <v>5899.75</v>
      </c>
      <c r="IA97" s="44">
        <v>5078.7</v>
      </c>
      <c r="IB97" s="44">
        <v>6964.68</v>
      </c>
      <c r="IC97" s="44">
        <v>7216.1</v>
      </c>
      <c r="ID97" s="44">
        <v>10078.64</v>
      </c>
      <c r="IE97" s="44">
        <v>11863.66</v>
      </c>
      <c r="IF97" s="44">
        <v>13558.53</v>
      </c>
      <c r="IG97" s="44">
        <v>13326.87</v>
      </c>
      <c r="IH97" s="44">
        <v>8921.42</v>
      </c>
      <c r="II97" s="44">
        <v>3638.95</v>
      </c>
      <c r="IJ97" s="44">
        <v>7059.51</v>
      </c>
      <c r="IK97" s="43">
        <v>5941.59</v>
      </c>
      <c r="IL97" s="43">
        <v>7310.47</v>
      </c>
      <c r="IM97" s="43">
        <v>8973.27</v>
      </c>
      <c r="IN97" s="43">
        <v>8217.7999999999993</v>
      </c>
      <c r="IO97" s="43">
        <v>6052.0820000000003</v>
      </c>
      <c r="IP97" s="43">
        <v>6187.2129999999997</v>
      </c>
      <c r="IQ97" s="43">
        <v>11832.41</v>
      </c>
      <c r="IR97" s="43">
        <v>13326.08</v>
      </c>
      <c r="IS97" s="45">
        <v>22555.26</v>
      </c>
      <c r="IT97" s="45">
        <v>23129.16</v>
      </c>
      <c r="IU97" s="45">
        <v>14178.59</v>
      </c>
      <c r="IV97" s="45">
        <v>16606.77</v>
      </c>
      <c r="IW97" s="45">
        <v>12572.26</v>
      </c>
      <c r="IX97" s="45">
        <v>7626.4081800000004</v>
      </c>
      <c r="IY97" s="45">
        <v>11719.472469999999</v>
      </c>
      <c r="IZ97" s="45">
        <v>9281.58</v>
      </c>
      <c r="JA97" s="45">
        <v>11550.32</v>
      </c>
      <c r="JB97" s="45">
        <v>9958.74</v>
      </c>
      <c r="JC97" s="45">
        <v>14393.8</v>
      </c>
      <c r="JD97" s="45">
        <v>14240.38</v>
      </c>
      <c r="JE97" s="45">
        <v>8656.77</v>
      </c>
      <c r="JF97" s="45">
        <v>7918.67</v>
      </c>
      <c r="JG97" s="45">
        <v>7692.26</v>
      </c>
      <c r="JH97" s="45">
        <v>10308.41</v>
      </c>
      <c r="JI97" s="45">
        <v>8646.89</v>
      </c>
      <c r="JJ97" s="45">
        <v>9336.6200000000008</v>
      </c>
      <c r="JK97" s="45">
        <v>10311.31</v>
      </c>
      <c r="JL97" s="45">
        <v>10759.27</v>
      </c>
      <c r="JM97" s="45">
        <v>7312.87</v>
      </c>
      <c r="JN97" s="45">
        <v>10664.484700000001</v>
      </c>
      <c r="JO97" s="45">
        <v>10345.57</v>
      </c>
      <c r="JP97" s="45">
        <v>9824.7800000000007</v>
      </c>
      <c r="JQ97" s="45">
        <v>8842.35</v>
      </c>
      <c r="JR97" s="45">
        <v>8914.17</v>
      </c>
      <c r="JS97" s="45">
        <v>9800.92</v>
      </c>
      <c r="JT97" s="45">
        <v>9506.2800000000007</v>
      </c>
      <c r="JU97" s="45">
        <v>6362.8040000000001</v>
      </c>
      <c r="JV97" s="45">
        <v>7280.35</v>
      </c>
      <c r="JW97" s="45">
        <v>7553.2579999999998</v>
      </c>
      <c r="JX97" s="45">
        <v>8633.5930000000008</v>
      </c>
      <c r="JY97" s="45">
        <v>7596.9269999999997</v>
      </c>
      <c r="JZ97" s="45">
        <v>9593.5040000000008</v>
      </c>
      <c r="KA97" s="45">
        <v>8886.1460000000006</v>
      </c>
      <c r="KB97" s="45">
        <v>11462.773999999999</v>
      </c>
      <c r="KC97" s="45">
        <v>10325.824000000001</v>
      </c>
      <c r="KD97" s="45">
        <v>17907.550999999999</v>
      </c>
      <c r="KE97" s="45">
        <v>16318.68</v>
      </c>
      <c r="KF97" s="45">
        <v>5773.5929999999998</v>
      </c>
      <c r="KG97" s="45">
        <v>9225.8770000000004</v>
      </c>
      <c r="KH97" s="45">
        <v>8083.5110000000004</v>
      </c>
      <c r="KI97" s="45">
        <v>1647.114</v>
      </c>
      <c r="KJ97" s="45">
        <v>8361.4279999999999</v>
      </c>
      <c r="KK97" s="45">
        <v>7650.549</v>
      </c>
      <c r="KL97" s="45">
        <v>5117.0619999999999</v>
      </c>
      <c r="KM97" s="45">
        <v>9057.2579999999998</v>
      </c>
      <c r="KN97" s="45">
        <v>12272.504000000001</v>
      </c>
      <c r="KO97" s="45">
        <v>16560.735000000001</v>
      </c>
      <c r="KP97" s="45">
        <v>14182.534</v>
      </c>
      <c r="KQ97" s="45">
        <v>8035.28</v>
      </c>
      <c r="KR97" s="45">
        <v>12679.422</v>
      </c>
      <c r="KS97" s="45">
        <v>16879.531999999999</v>
      </c>
      <c r="KT97" s="45">
        <v>18292.169000000002</v>
      </c>
      <c r="KU97" s="45">
        <v>18201.584999999999</v>
      </c>
      <c r="KV97" s="45">
        <v>18720.261999999999</v>
      </c>
      <c r="KW97" s="45">
        <v>10357.842000000001</v>
      </c>
      <c r="KX97" s="45">
        <v>7874.8209999999999</v>
      </c>
      <c r="KY97" s="45">
        <v>14164.664000000001</v>
      </c>
      <c r="KZ97" s="45">
        <v>7611.0069999999996</v>
      </c>
      <c r="LA97" s="45">
        <v>32193.947</v>
      </c>
      <c r="LB97" s="45">
        <v>10194.976000000001</v>
      </c>
      <c r="LC97" s="45">
        <v>8879.0859999999993</v>
      </c>
      <c r="LD97" s="45">
        <v>6713.9229999999998</v>
      </c>
      <c r="LE97" s="45">
        <v>9038.0519999999997</v>
      </c>
      <c r="LF97" s="45">
        <v>7463.9939999999997</v>
      </c>
      <c r="LG97" s="45">
        <v>7274.6</v>
      </c>
      <c r="LH97" s="45">
        <v>6368.4279999999999</v>
      </c>
      <c r="LI97" s="45">
        <v>8135.2969999999996</v>
      </c>
      <c r="LJ97" s="45">
        <v>7472.3109999999997</v>
      </c>
      <c r="LK97" s="45">
        <v>12279.288</v>
      </c>
      <c r="LL97" s="45">
        <v>14457.432000000001</v>
      </c>
      <c r="LM97" s="45">
        <v>20965.625</v>
      </c>
      <c r="LN97" s="45">
        <v>19677.539000000001</v>
      </c>
      <c r="LO97" s="45">
        <v>18684.205000000002</v>
      </c>
      <c r="LP97" s="45">
        <v>21513.474999999999</v>
      </c>
      <c r="LQ97" s="45">
        <v>15813.625709999995</v>
      </c>
      <c r="LR97" s="45">
        <v>3950.5839999999998</v>
      </c>
      <c r="LS97" s="45">
        <v>12323.22531</v>
      </c>
      <c r="LT97" s="45">
        <v>9000.4245900000005</v>
      </c>
      <c r="LU97" s="43"/>
      <c r="LV97" s="43"/>
      <c r="LW97" s="43"/>
      <c r="LX97" s="43"/>
    </row>
    <row r="98" spans="1:336" s="29" customFormat="1" x14ac:dyDescent="0.3">
      <c r="A98" s="33" t="s">
        <v>34</v>
      </c>
      <c r="B98" s="46" t="s">
        <v>89</v>
      </c>
      <c r="C98" s="43" t="s">
        <v>86</v>
      </c>
      <c r="D98" s="44" t="s">
        <v>86</v>
      </c>
      <c r="E98" s="44" t="s">
        <v>86</v>
      </c>
      <c r="F98" s="44" t="s">
        <v>86</v>
      </c>
      <c r="G98" s="44" t="s">
        <v>86</v>
      </c>
      <c r="H98" s="44" t="s">
        <v>86</v>
      </c>
      <c r="I98" s="44" t="s">
        <v>86</v>
      </c>
      <c r="J98" s="44" t="s">
        <v>86</v>
      </c>
      <c r="K98" s="44" t="s">
        <v>86</v>
      </c>
      <c r="L98" s="44" t="s">
        <v>86</v>
      </c>
      <c r="M98" s="44" t="s">
        <v>86</v>
      </c>
      <c r="N98" s="44" t="s">
        <v>86</v>
      </c>
      <c r="O98" s="44" t="s">
        <v>86</v>
      </c>
      <c r="P98" s="44" t="s">
        <v>86</v>
      </c>
      <c r="Q98" s="44" t="s">
        <v>86</v>
      </c>
      <c r="R98" s="44" t="s">
        <v>86</v>
      </c>
      <c r="S98" s="44" t="s">
        <v>86</v>
      </c>
      <c r="T98" s="44" t="s">
        <v>86</v>
      </c>
      <c r="U98" s="44" t="s">
        <v>86</v>
      </c>
      <c r="V98" s="44" t="s">
        <v>86</v>
      </c>
      <c r="W98" s="44" t="s">
        <v>86</v>
      </c>
      <c r="X98" s="44" t="s">
        <v>86</v>
      </c>
      <c r="Y98" s="44" t="s">
        <v>86</v>
      </c>
      <c r="Z98" s="44" t="s">
        <v>86</v>
      </c>
      <c r="AA98" s="44" t="s">
        <v>86</v>
      </c>
      <c r="AB98" s="44" t="s">
        <v>86</v>
      </c>
      <c r="AC98" s="44" t="s">
        <v>86</v>
      </c>
      <c r="AD98" s="44" t="s">
        <v>86</v>
      </c>
      <c r="AE98" s="44" t="s">
        <v>86</v>
      </c>
      <c r="AF98" s="44" t="s">
        <v>86</v>
      </c>
      <c r="AG98" s="44" t="s">
        <v>86</v>
      </c>
      <c r="AH98" s="44" t="s">
        <v>86</v>
      </c>
      <c r="AI98" s="44" t="s">
        <v>86</v>
      </c>
      <c r="AJ98" s="44" t="s">
        <v>86</v>
      </c>
      <c r="AK98" s="44" t="s">
        <v>86</v>
      </c>
      <c r="AL98" s="44" t="s">
        <v>86</v>
      </c>
      <c r="AM98" s="44" t="s">
        <v>86</v>
      </c>
      <c r="AN98" s="44" t="s">
        <v>86</v>
      </c>
      <c r="AO98" s="44" t="s">
        <v>86</v>
      </c>
      <c r="AP98" s="44" t="s">
        <v>86</v>
      </c>
      <c r="AQ98" s="44" t="s">
        <v>86</v>
      </c>
      <c r="AR98" s="44" t="s">
        <v>86</v>
      </c>
      <c r="AS98" s="44" t="s">
        <v>86</v>
      </c>
      <c r="AT98" s="44" t="s">
        <v>86</v>
      </c>
      <c r="AU98" s="44" t="s">
        <v>86</v>
      </c>
      <c r="AV98" s="44" t="s">
        <v>86</v>
      </c>
      <c r="AW98" s="44" t="s">
        <v>86</v>
      </c>
      <c r="AX98" s="44" t="s">
        <v>86</v>
      </c>
      <c r="AY98" s="44" t="s">
        <v>86</v>
      </c>
      <c r="AZ98" s="44" t="s">
        <v>86</v>
      </c>
      <c r="BA98" s="44" t="s">
        <v>86</v>
      </c>
      <c r="BB98" s="44" t="s">
        <v>86</v>
      </c>
      <c r="BC98" s="44" t="s">
        <v>86</v>
      </c>
      <c r="BD98" s="44" t="s">
        <v>86</v>
      </c>
      <c r="BE98" s="44" t="s">
        <v>86</v>
      </c>
      <c r="BF98" s="44" t="s">
        <v>86</v>
      </c>
      <c r="BG98" s="44" t="s">
        <v>86</v>
      </c>
      <c r="BH98" s="44" t="s">
        <v>86</v>
      </c>
      <c r="BI98" s="44" t="s">
        <v>86</v>
      </c>
      <c r="BJ98" s="44" t="s">
        <v>86</v>
      </c>
      <c r="BK98" s="44" t="s">
        <v>86</v>
      </c>
      <c r="BL98" s="44" t="s">
        <v>86</v>
      </c>
      <c r="BM98" s="44" t="s">
        <v>86</v>
      </c>
      <c r="BN98" s="44" t="s">
        <v>86</v>
      </c>
      <c r="BO98" s="44" t="s">
        <v>86</v>
      </c>
      <c r="BP98" s="44" t="s">
        <v>86</v>
      </c>
      <c r="BQ98" s="44" t="s">
        <v>86</v>
      </c>
      <c r="BR98" s="44" t="s">
        <v>86</v>
      </c>
      <c r="BS98" s="44" t="s">
        <v>86</v>
      </c>
      <c r="BT98" s="44" t="s">
        <v>86</v>
      </c>
      <c r="BU98" s="44" t="s">
        <v>86</v>
      </c>
      <c r="BV98" s="44" t="s">
        <v>86</v>
      </c>
      <c r="BW98" s="44" t="s">
        <v>86</v>
      </c>
      <c r="BX98" s="44" t="s">
        <v>86</v>
      </c>
      <c r="BY98" s="44" t="s">
        <v>86</v>
      </c>
      <c r="BZ98" s="44" t="s">
        <v>86</v>
      </c>
      <c r="CA98" s="44" t="s">
        <v>86</v>
      </c>
      <c r="CB98" s="44" t="s">
        <v>86</v>
      </c>
      <c r="CC98" s="44" t="s">
        <v>86</v>
      </c>
      <c r="CD98" s="44" t="s">
        <v>86</v>
      </c>
      <c r="CE98" s="44" t="s">
        <v>86</v>
      </c>
      <c r="CF98" s="44" t="s">
        <v>86</v>
      </c>
      <c r="CG98" s="44" t="s">
        <v>86</v>
      </c>
      <c r="CH98" s="44" t="s">
        <v>86</v>
      </c>
      <c r="CI98" s="44" t="s">
        <v>86</v>
      </c>
      <c r="CJ98" s="44" t="s">
        <v>86</v>
      </c>
      <c r="CK98" s="44" t="s">
        <v>86</v>
      </c>
      <c r="CL98" s="44" t="s">
        <v>86</v>
      </c>
      <c r="CM98" s="44" t="s">
        <v>86</v>
      </c>
      <c r="CN98" s="44" t="s">
        <v>86</v>
      </c>
      <c r="CO98" s="44" t="s">
        <v>86</v>
      </c>
      <c r="CP98" s="44" t="s">
        <v>86</v>
      </c>
      <c r="CQ98" s="44" t="s">
        <v>86</v>
      </c>
      <c r="CR98" s="44" t="s">
        <v>86</v>
      </c>
      <c r="CS98" s="44" t="s">
        <v>86</v>
      </c>
      <c r="CT98" s="44" t="s">
        <v>86</v>
      </c>
      <c r="CU98" s="44" t="s">
        <v>86</v>
      </c>
      <c r="CV98" s="44" t="s">
        <v>86</v>
      </c>
      <c r="CW98" s="44" t="s">
        <v>86</v>
      </c>
      <c r="CX98" s="44" t="s">
        <v>86</v>
      </c>
      <c r="CY98" s="44" t="s">
        <v>86</v>
      </c>
      <c r="CZ98" s="44" t="s">
        <v>86</v>
      </c>
      <c r="DA98" s="44" t="s">
        <v>86</v>
      </c>
      <c r="DB98" s="44" t="s">
        <v>86</v>
      </c>
      <c r="DC98" s="44" t="s">
        <v>86</v>
      </c>
      <c r="DD98" s="44" t="s">
        <v>86</v>
      </c>
      <c r="DE98" s="44" t="s">
        <v>86</v>
      </c>
      <c r="DF98" s="44" t="s">
        <v>86</v>
      </c>
      <c r="DG98" s="44" t="s">
        <v>86</v>
      </c>
      <c r="DH98" s="44" t="s">
        <v>86</v>
      </c>
      <c r="DI98" s="44" t="s">
        <v>86</v>
      </c>
      <c r="DJ98" s="44" t="s">
        <v>86</v>
      </c>
      <c r="DK98" s="44" t="s">
        <v>86</v>
      </c>
      <c r="DL98" s="44" t="s">
        <v>86</v>
      </c>
      <c r="DM98" s="44" t="s">
        <v>86</v>
      </c>
      <c r="DN98" s="44" t="s">
        <v>86</v>
      </c>
      <c r="DO98" s="44" t="s">
        <v>86</v>
      </c>
      <c r="DP98" s="44" t="s">
        <v>86</v>
      </c>
      <c r="DQ98" s="44" t="s">
        <v>86</v>
      </c>
      <c r="DR98" s="44" t="s">
        <v>86</v>
      </c>
      <c r="DS98" s="44" t="s">
        <v>86</v>
      </c>
      <c r="DT98" s="44" t="s">
        <v>86</v>
      </c>
      <c r="DU98" s="44" t="s">
        <v>86</v>
      </c>
      <c r="DV98" s="44" t="s">
        <v>86</v>
      </c>
      <c r="DW98" s="44" t="s">
        <v>86</v>
      </c>
      <c r="DX98" s="44" t="s">
        <v>86</v>
      </c>
      <c r="DY98" s="44" t="s">
        <v>86</v>
      </c>
      <c r="DZ98" s="44" t="s">
        <v>86</v>
      </c>
      <c r="EA98" s="44" t="s">
        <v>86</v>
      </c>
      <c r="EB98" s="44" t="s">
        <v>86</v>
      </c>
      <c r="EC98" s="44" t="s">
        <v>86</v>
      </c>
      <c r="ED98" s="44" t="s">
        <v>86</v>
      </c>
      <c r="EE98" s="44" t="s">
        <v>86</v>
      </c>
      <c r="EF98" s="44" t="s">
        <v>86</v>
      </c>
      <c r="EG98" s="44" t="s">
        <v>86</v>
      </c>
      <c r="EH98" s="44" t="s">
        <v>86</v>
      </c>
      <c r="EI98" s="44" t="s">
        <v>86</v>
      </c>
      <c r="EJ98" s="44" t="s">
        <v>86</v>
      </c>
      <c r="EK98" s="44" t="s">
        <v>86</v>
      </c>
      <c r="EL98" s="44" t="s">
        <v>86</v>
      </c>
      <c r="EM98" s="44" t="s">
        <v>86</v>
      </c>
      <c r="EN98" s="44" t="s">
        <v>86</v>
      </c>
      <c r="EO98" s="44" t="s">
        <v>86</v>
      </c>
      <c r="EP98" s="44" t="s">
        <v>86</v>
      </c>
      <c r="EQ98" s="44" t="s">
        <v>86</v>
      </c>
      <c r="ER98" s="44" t="s">
        <v>86</v>
      </c>
      <c r="ES98" s="44" t="s">
        <v>86</v>
      </c>
      <c r="ET98" s="44" t="s">
        <v>86</v>
      </c>
      <c r="EU98" s="44" t="s">
        <v>86</v>
      </c>
      <c r="EV98" s="44" t="s">
        <v>86</v>
      </c>
      <c r="EW98" s="44" t="s">
        <v>86</v>
      </c>
      <c r="EX98" s="44" t="s">
        <v>86</v>
      </c>
      <c r="EY98" s="44" t="s">
        <v>86</v>
      </c>
      <c r="EZ98" s="44" t="s">
        <v>86</v>
      </c>
      <c r="FA98" s="44" t="s">
        <v>86</v>
      </c>
      <c r="FB98" s="44" t="s">
        <v>86</v>
      </c>
      <c r="FC98" s="44" t="s">
        <v>86</v>
      </c>
      <c r="FD98" s="44" t="s">
        <v>86</v>
      </c>
      <c r="FE98" s="44" t="s">
        <v>86</v>
      </c>
      <c r="FF98" s="44" t="s">
        <v>86</v>
      </c>
      <c r="FG98" s="44" t="s">
        <v>86</v>
      </c>
      <c r="FH98" s="44" t="s">
        <v>86</v>
      </c>
      <c r="FI98" s="44" t="s">
        <v>86</v>
      </c>
      <c r="FJ98" s="44" t="s">
        <v>86</v>
      </c>
      <c r="FK98" s="44" t="s">
        <v>86</v>
      </c>
      <c r="FL98" s="44" t="s">
        <v>86</v>
      </c>
      <c r="FM98" s="44" t="s">
        <v>86</v>
      </c>
      <c r="FN98" s="44" t="s">
        <v>86</v>
      </c>
      <c r="FO98" s="44" t="s">
        <v>86</v>
      </c>
      <c r="FP98" s="44" t="s">
        <v>86</v>
      </c>
      <c r="FQ98" s="44" t="s">
        <v>86</v>
      </c>
      <c r="FR98" s="44" t="s">
        <v>86</v>
      </c>
      <c r="FS98" s="44" t="s">
        <v>86</v>
      </c>
      <c r="FT98" s="44" t="s">
        <v>86</v>
      </c>
      <c r="FU98" s="44" t="s">
        <v>86</v>
      </c>
      <c r="FV98" s="44" t="s">
        <v>86</v>
      </c>
      <c r="FW98" s="44" t="s">
        <v>86</v>
      </c>
      <c r="FX98" s="44" t="s">
        <v>86</v>
      </c>
      <c r="FY98" s="44" t="s">
        <v>86</v>
      </c>
      <c r="FZ98" s="44" t="s">
        <v>86</v>
      </c>
      <c r="GA98" s="44" t="s">
        <v>86</v>
      </c>
      <c r="GB98" s="44" t="s">
        <v>86</v>
      </c>
      <c r="GC98" s="44" t="s">
        <v>86</v>
      </c>
      <c r="GD98" s="44" t="s">
        <v>86</v>
      </c>
      <c r="GE98" s="44" t="s">
        <v>86</v>
      </c>
      <c r="GF98" s="44" t="s">
        <v>86</v>
      </c>
      <c r="GG98" s="44" t="s">
        <v>86</v>
      </c>
      <c r="GH98" s="44" t="s">
        <v>86</v>
      </c>
      <c r="GI98" s="44" t="s">
        <v>86</v>
      </c>
      <c r="GJ98" s="44" t="s">
        <v>86</v>
      </c>
      <c r="GK98" s="44" t="s">
        <v>86</v>
      </c>
      <c r="GL98" s="44" t="s">
        <v>86</v>
      </c>
      <c r="GM98" s="44" t="s">
        <v>86</v>
      </c>
      <c r="GN98" s="44" t="s">
        <v>86</v>
      </c>
      <c r="GO98" s="44">
        <v>2493.59</v>
      </c>
      <c r="GP98" s="44">
        <v>2654.36</v>
      </c>
      <c r="GQ98" s="44">
        <v>2980.29</v>
      </c>
      <c r="GR98" s="44">
        <v>2796.61</v>
      </c>
      <c r="GS98" s="44">
        <v>0</v>
      </c>
      <c r="GT98" s="44">
        <v>1363.2</v>
      </c>
      <c r="GU98" s="44">
        <v>2039.36</v>
      </c>
      <c r="GV98" s="44">
        <v>2218.21</v>
      </c>
      <c r="GW98" s="44">
        <v>1492.2</v>
      </c>
      <c r="GX98" s="44">
        <v>502.6</v>
      </c>
      <c r="GY98" s="44">
        <v>1220.3599999999999</v>
      </c>
      <c r="GZ98" s="44">
        <v>1957.31</v>
      </c>
      <c r="HA98" s="44">
        <v>1712.67</v>
      </c>
      <c r="HB98" s="44">
        <v>3368.14</v>
      </c>
      <c r="HC98" s="44">
        <v>3087.37</v>
      </c>
      <c r="HD98" s="44">
        <v>3180.28</v>
      </c>
      <c r="HE98" s="44">
        <v>2500.61</v>
      </c>
      <c r="HF98" s="44">
        <v>2524.34</v>
      </c>
      <c r="HG98" s="44">
        <v>3078</v>
      </c>
      <c r="HH98" s="44">
        <v>4807.7</v>
      </c>
      <c r="HI98" s="44">
        <v>1165</v>
      </c>
      <c r="HJ98" s="44">
        <v>2235</v>
      </c>
      <c r="HK98" s="44">
        <v>2630.92</v>
      </c>
      <c r="HL98" s="44">
        <v>2679.38</v>
      </c>
      <c r="HM98" s="44">
        <v>3208.97</v>
      </c>
      <c r="HN98" s="44">
        <v>4727.78</v>
      </c>
      <c r="HO98" s="44">
        <v>3696.42</v>
      </c>
      <c r="HP98" s="44">
        <v>3682.79</v>
      </c>
      <c r="HQ98" s="44">
        <v>2829.2249999999999</v>
      </c>
      <c r="HR98" s="44">
        <v>2954.509</v>
      </c>
      <c r="HS98" s="44">
        <v>2414.35</v>
      </c>
      <c r="HT98" s="44">
        <v>3153.99</v>
      </c>
      <c r="HU98" s="44">
        <v>3832.24</v>
      </c>
      <c r="HV98" s="44">
        <v>3843.25</v>
      </c>
      <c r="HW98" s="44">
        <v>1739.53</v>
      </c>
      <c r="HX98" s="44">
        <v>2563.04</v>
      </c>
      <c r="HY98" s="44">
        <v>2411.23</v>
      </c>
      <c r="HZ98" s="44">
        <v>2891.44</v>
      </c>
      <c r="IA98" s="44">
        <v>2443.54</v>
      </c>
      <c r="IB98" s="44">
        <v>3176.64</v>
      </c>
      <c r="IC98" s="44">
        <v>2067.0700000000002</v>
      </c>
      <c r="ID98" s="44">
        <v>2459.65</v>
      </c>
      <c r="IE98" s="44">
        <v>2864.61</v>
      </c>
      <c r="IF98" s="44">
        <v>2193.94</v>
      </c>
      <c r="IG98" s="44">
        <v>3299.4</v>
      </c>
      <c r="IH98" s="44">
        <v>3190.11</v>
      </c>
      <c r="II98" s="44">
        <v>4009.57</v>
      </c>
      <c r="IJ98" s="44">
        <v>3719.86</v>
      </c>
      <c r="IK98" s="43">
        <v>2889.11</v>
      </c>
      <c r="IL98" s="43">
        <v>3739.37</v>
      </c>
      <c r="IM98" s="43">
        <v>3452.85</v>
      </c>
      <c r="IN98" s="43">
        <v>4891.42</v>
      </c>
      <c r="IO98" s="43">
        <v>3920.4479999999999</v>
      </c>
      <c r="IP98" s="43">
        <v>3211.39</v>
      </c>
      <c r="IQ98" s="43">
        <v>4563.3559999999998</v>
      </c>
      <c r="IR98" s="43">
        <v>6733.16</v>
      </c>
      <c r="IS98" s="45">
        <v>5382.5590000000002</v>
      </c>
      <c r="IT98" s="45">
        <v>6614.33</v>
      </c>
      <c r="IU98" s="45">
        <v>5761.61</v>
      </c>
      <c r="IV98" s="45">
        <v>6461.66</v>
      </c>
      <c r="IW98" s="45">
        <v>6992.73</v>
      </c>
      <c r="IX98" s="45">
        <v>6300.3266000000003</v>
      </c>
      <c r="IY98" s="45">
        <v>6906.98704</v>
      </c>
      <c r="IZ98" s="45">
        <v>7162.97</v>
      </c>
      <c r="JA98" s="45">
        <v>5427.99</v>
      </c>
      <c r="JB98" s="45">
        <v>4251.37</v>
      </c>
      <c r="JC98" s="45">
        <v>4401.18</v>
      </c>
      <c r="JD98" s="45">
        <v>4978.75</v>
      </c>
      <c r="JE98" s="45">
        <v>7489.48</v>
      </c>
      <c r="JF98" s="45">
        <v>9913.6</v>
      </c>
      <c r="JG98" s="45">
        <v>4861.22</v>
      </c>
      <c r="JH98" s="45">
        <v>4846.8</v>
      </c>
      <c r="JI98" s="45">
        <v>6806.91</v>
      </c>
      <c r="JJ98" s="45">
        <v>6217.71</v>
      </c>
      <c r="JK98" s="45">
        <v>6358.57</v>
      </c>
      <c r="JL98" s="45">
        <v>5598.7</v>
      </c>
      <c r="JM98" s="45">
        <v>4583.25</v>
      </c>
      <c r="JN98" s="45">
        <v>3409.0410000000002</v>
      </c>
      <c r="JO98" s="45">
        <v>4064.42</v>
      </c>
      <c r="JP98" s="45">
        <v>3910.46</v>
      </c>
      <c r="JQ98" s="45">
        <v>4675.91</v>
      </c>
      <c r="JR98" s="45">
        <v>3671.06</v>
      </c>
      <c r="JS98" s="45">
        <v>4206.63</v>
      </c>
      <c r="JT98" s="45">
        <v>4507.68</v>
      </c>
      <c r="JU98" s="45">
        <v>6516.4160000000002</v>
      </c>
      <c r="JV98" s="45">
        <v>7545.95</v>
      </c>
      <c r="JW98" s="45">
        <v>4080.248</v>
      </c>
      <c r="JX98" s="45">
        <v>3627.9259999999999</v>
      </c>
      <c r="JY98" s="45">
        <v>4288.8090000000002</v>
      </c>
      <c r="JZ98" s="45">
        <v>3715.7539999999999</v>
      </c>
      <c r="KA98" s="45">
        <v>4122.5600000000004</v>
      </c>
      <c r="KB98" s="45">
        <v>3532.9740000000002</v>
      </c>
      <c r="KC98" s="45">
        <v>4016.7809999999999</v>
      </c>
      <c r="KD98" s="45">
        <v>3665.556</v>
      </c>
      <c r="KE98" s="45">
        <v>4859.46</v>
      </c>
      <c r="KF98" s="45">
        <v>4537.098</v>
      </c>
      <c r="KG98" s="45">
        <v>4588.0990000000002</v>
      </c>
      <c r="KH98" s="45">
        <v>3949.4639999999999</v>
      </c>
      <c r="KI98" s="45">
        <v>1122.867</v>
      </c>
      <c r="KJ98" s="45">
        <v>5742.7569999999996</v>
      </c>
      <c r="KK98" s="45">
        <v>4565.95</v>
      </c>
      <c r="KL98" s="45">
        <v>3302.7289999999998</v>
      </c>
      <c r="KM98" s="45">
        <v>4352.6440000000002</v>
      </c>
      <c r="KN98" s="45">
        <v>4309.9520000000002</v>
      </c>
      <c r="KO98" s="45">
        <v>4788.5169999999998</v>
      </c>
      <c r="KP98" s="45">
        <v>4392.8599999999997</v>
      </c>
      <c r="KQ98" s="45">
        <v>3295.6489999999999</v>
      </c>
      <c r="KR98" s="45">
        <v>3877.5920000000001</v>
      </c>
      <c r="KS98" s="45">
        <v>3267.0010000000002</v>
      </c>
      <c r="KT98" s="45">
        <v>2667.924</v>
      </c>
      <c r="KU98" s="45">
        <v>2958.3910000000001</v>
      </c>
      <c r="KV98" s="45">
        <v>3608.41</v>
      </c>
      <c r="KW98" s="45">
        <v>3494.047</v>
      </c>
      <c r="KX98" s="45">
        <v>3168.7530000000002</v>
      </c>
      <c r="KY98" s="45">
        <v>4979.3050000000003</v>
      </c>
      <c r="KZ98" s="45">
        <v>5305.3559999999998</v>
      </c>
      <c r="LA98" s="45">
        <v>5739.0709999999999</v>
      </c>
      <c r="LB98" s="45">
        <v>4733.9970000000003</v>
      </c>
      <c r="LC98" s="45">
        <v>5313.54</v>
      </c>
      <c r="LD98" s="45">
        <v>4493.7110000000002</v>
      </c>
      <c r="LE98" s="45">
        <v>4694.3459999999995</v>
      </c>
      <c r="LF98" s="45">
        <v>3747.9549999999999</v>
      </c>
      <c r="LG98" s="45">
        <v>4074.2109999999998</v>
      </c>
      <c r="LH98" s="45">
        <v>4410.4820999999993</v>
      </c>
      <c r="LI98" s="45">
        <v>4419.7269999999999</v>
      </c>
      <c r="LJ98" s="45">
        <v>3869.1439999999998</v>
      </c>
      <c r="LK98" s="45">
        <v>4416.5259999999998</v>
      </c>
      <c r="LL98" s="45">
        <v>5998.2780000000002</v>
      </c>
      <c r="LM98" s="45">
        <v>5754.902</v>
      </c>
      <c r="LN98" s="45">
        <v>5813.1189999999997</v>
      </c>
      <c r="LO98" s="45">
        <v>4294.7879999999996</v>
      </c>
      <c r="LP98" s="45">
        <v>5469.9566499999983</v>
      </c>
      <c r="LQ98" s="45">
        <v>3786.4887500000004</v>
      </c>
      <c r="LR98" s="45">
        <v>1856.066</v>
      </c>
      <c r="LS98" s="45">
        <v>3916.8906099999999</v>
      </c>
      <c r="LT98" s="45">
        <v>3068.5078599999997</v>
      </c>
      <c r="LU98" s="43"/>
      <c r="LV98" s="43"/>
      <c r="LW98" s="43"/>
      <c r="LX98" s="43"/>
    </row>
    <row r="99" spans="1:336" s="29" customFormat="1" x14ac:dyDescent="0.3">
      <c r="A99" s="47" t="s">
        <v>98</v>
      </c>
      <c r="B99" s="48" t="s">
        <v>151</v>
      </c>
      <c r="C99" s="49" t="s">
        <v>86</v>
      </c>
      <c r="D99" s="44" t="s">
        <v>86</v>
      </c>
      <c r="E99" s="44" t="s">
        <v>86</v>
      </c>
      <c r="F99" s="44" t="s">
        <v>86</v>
      </c>
      <c r="G99" s="44" t="s">
        <v>86</v>
      </c>
      <c r="H99" s="44" t="s">
        <v>86</v>
      </c>
      <c r="I99" s="44" t="s">
        <v>86</v>
      </c>
      <c r="J99" s="44" t="s">
        <v>86</v>
      </c>
      <c r="K99" s="44" t="s">
        <v>86</v>
      </c>
      <c r="L99" s="44" t="s">
        <v>86</v>
      </c>
      <c r="M99" s="44" t="s">
        <v>86</v>
      </c>
      <c r="N99" s="44" t="s">
        <v>86</v>
      </c>
      <c r="O99" s="44" t="s">
        <v>86</v>
      </c>
      <c r="P99" s="44" t="s">
        <v>86</v>
      </c>
      <c r="Q99" s="44" t="s">
        <v>86</v>
      </c>
      <c r="R99" s="44" t="s">
        <v>86</v>
      </c>
      <c r="S99" s="44" t="s">
        <v>86</v>
      </c>
      <c r="T99" s="44" t="s">
        <v>86</v>
      </c>
      <c r="U99" s="44" t="s">
        <v>86</v>
      </c>
      <c r="V99" s="44" t="s">
        <v>86</v>
      </c>
      <c r="W99" s="44" t="s">
        <v>86</v>
      </c>
      <c r="X99" s="44" t="s">
        <v>86</v>
      </c>
      <c r="Y99" s="44" t="s">
        <v>86</v>
      </c>
      <c r="Z99" s="44" t="s">
        <v>86</v>
      </c>
      <c r="AA99" s="44" t="s">
        <v>86</v>
      </c>
      <c r="AB99" s="44" t="s">
        <v>86</v>
      </c>
      <c r="AC99" s="44" t="s">
        <v>86</v>
      </c>
      <c r="AD99" s="44" t="s">
        <v>86</v>
      </c>
      <c r="AE99" s="44" t="s">
        <v>86</v>
      </c>
      <c r="AF99" s="44" t="s">
        <v>86</v>
      </c>
      <c r="AG99" s="44" t="s">
        <v>86</v>
      </c>
      <c r="AH99" s="44" t="s">
        <v>86</v>
      </c>
      <c r="AI99" s="44" t="s">
        <v>86</v>
      </c>
      <c r="AJ99" s="44" t="s">
        <v>86</v>
      </c>
      <c r="AK99" s="44" t="s">
        <v>86</v>
      </c>
      <c r="AL99" s="44" t="s">
        <v>86</v>
      </c>
      <c r="AM99" s="44" t="s">
        <v>86</v>
      </c>
      <c r="AN99" s="44" t="s">
        <v>86</v>
      </c>
      <c r="AO99" s="44" t="s">
        <v>86</v>
      </c>
      <c r="AP99" s="44">
        <v>16.55</v>
      </c>
      <c r="AQ99" s="44">
        <v>12.38</v>
      </c>
      <c r="AR99" s="44" t="s">
        <v>86</v>
      </c>
      <c r="AS99" s="44" t="s">
        <v>86</v>
      </c>
      <c r="AT99" s="44" t="s">
        <v>86</v>
      </c>
      <c r="AU99" s="44" t="s">
        <v>86</v>
      </c>
      <c r="AV99" s="44" t="s">
        <v>86</v>
      </c>
      <c r="AW99" s="44">
        <v>0.18</v>
      </c>
      <c r="AX99" s="44" t="s">
        <v>86</v>
      </c>
      <c r="AY99" s="44" t="s">
        <v>86</v>
      </c>
      <c r="AZ99" s="44" t="s">
        <v>86</v>
      </c>
      <c r="BA99" s="44" t="s">
        <v>86</v>
      </c>
      <c r="BB99" s="44" t="s">
        <v>86</v>
      </c>
      <c r="BC99" s="44" t="s">
        <v>86</v>
      </c>
      <c r="BD99" s="44" t="s">
        <v>86</v>
      </c>
      <c r="BE99" s="44" t="s">
        <v>86</v>
      </c>
      <c r="BF99" s="44">
        <v>13.9</v>
      </c>
      <c r="BG99" s="44" t="s">
        <v>86</v>
      </c>
      <c r="BH99" s="44" t="s">
        <v>86</v>
      </c>
      <c r="BI99" s="44" t="s">
        <v>86</v>
      </c>
      <c r="BJ99" s="44" t="s">
        <v>86</v>
      </c>
      <c r="BK99" s="44" t="s">
        <v>86</v>
      </c>
      <c r="BL99" s="44" t="s">
        <v>86</v>
      </c>
      <c r="BM99" s="44" t="s">
        <v>86</v>
      </c>
      <c r="BN99" s="44" t="s">
        <v>86</v>
      </c>
      <c r="BO99" s="44" t="s">
        <v>86</v>
      </c>
      <c r="BP99" s="44">
        <v>17.23</v>
      </c>
      <c r="BQ99" s="44">
        <v>0.25</v>
      </c>
      <c r="BR99" s="44">
        <v>0.8</v>
      </c>
      <c r="BS99" s="44">
        <v>1.24</v>
      </c>
      <c r="BT99" s="44" t="s">
        <v>86</v>
      </c>
      <c r="BU99" s="44">
        <v>0.08</v>
      </c>
      <c r="BV99" s="44" t="s">
        <v>86</v>
      </c>
      <c r="BW99" s="44" t="s">
        <v>86</v>
      </c>
      <c r="BX99" s="44" t="s">
        <v>86</v>
      </c>
      <c r="BY99" s="44" t="s">
        <v>86</v>
      </c>
      <c r="BZ99" s="44" t="s">
        <v>86</v>
      </c>
      <c r="CA99" s="44" t="s">
        <v>86</v>
      </c>
      <c r="CB99" s="44" t="s">
        <v>86</v>
      </c>
      <c r="CC99" s="44">
        <v>18</v>
      </c>
      <c r="CD99" s="44"/>
      <c r="CE99" s="44"/>
      <c r="CF99" s="44">
        <v>18</v>
      </c>
      <c r="CG99" s="44" t="s">
        <v>86</v>
      </c>
      <c r="CH99" s="44" t="s">
        <v>86</v>
      </c>
      <c r="CI99" s="44" t="s">
        <v>86</v>
      </c>
      <c r="CJ99" s="44" t="s">
        <v>86</v>
      </c>
      <c r="CK99" s="44" t="s">
        <v>86</v>
      </c>
      <c r="CL99" s="44" t="s">
        <v>86</v>
      </c>
      <c r="CM99" s="44" t="s">
        <v>86</v>
      </c>
      <c r="CN99" s="44">
        <v>26.42</v>
      </c>
      <c r="CO99" s="44" t="s">
        <v>86</v>
      </c>
      <c r="CP99" s="44" t="s">
        <v>86</v>
      </c>
      <c r="CQ99" s="44">
        <v>1</v>
      </c>
      <c r="CR99" s="44" t="s">
        <v>86</v>
      </c>
      <c r="CS99" s="44" t="s">
        <v>86</v>
      </c>
      <c r="CT99" s="44" t="s">
        <v>86</v>
      </c>
      <c r="CU99" s="44">
        <v>1</v>
      </c>
      <c r="CV99" s="44" t="s">
        <v>86</v>
      </c>
      <c r="CW99" s="44" t="s">
        <v>86</v>
      </c>
      <c r="CX99" s="44" t="s">
        <v>86</v>
      </c>
      <c r="CY99" s="44" t="s">
        <v>86</v>
      </c>
      <c r="CZ99" s="44">
        <v>3</v>
      </c>
      <c r="DA99" s="44" t="s">
        <v>86</v>
      </c>
      <c r="DB99" s="44" t="s">
        <v>86</v>
      </c>
      <c r="DC99" s="44" t="s">
        <v>86</v>
      </c>
      <c r="DD99" s="44" t="s">
        <v>86</v>
      </c>
      <c r="DE99" s="44" t="s">
        <v>86</v>
      </c>
      <c r="DF99" s="44" t="s">
        <v>86</v>
      </c>
      <c r="DG99" s="44" t="s">
        <v>86</v>
      </c>
      <c r="DH99" s="44" t="s">
        <v>86</v>
      </c>
      <c r="DI99" s="44">
        <v>3</v>
      </c>
      <c r="DJ99" s="44">
        <v>5</v>
      </c>
      <c r="DK99" s="44">
        <v>19</v>
      </c>
      <c r="DL99" s="44">
        <v>1</v>
      </c>
      <c r="DM99" s="44" t="s">
        <v>87</v>
      </c>
      <c r="DN99" s="44" t="s">
        <v>87</v>
      </c>
      <c r="DO99" s="44" t="s">
        <v>87</v>
      </c>
      <c r="DP99" s="44">
        <v>28.01</v>
      </c>
      <c r="DQ99" s="44">
        <v>1.64</v>
      </c>
      <c r="DR99" s="44">
        <v>49</v>
      </c>
      <c r="DS99" s="44" t="s">
        <v>87</v>
      </c>
      <c r="DT99" s="44">
        <v>48.76</v>
      </c>
      <c r="DU99" s="44">
        <v>7</v>
      </c>
      <c r="DV99" s="44">
        <v>10.02</v>
      </c>
      <c r="DW99" s="44">
        <v>7.97</v>
      </c>
      <c r="DX99" s="44">
        <v>0.01</v>
      </c>
      <c r="DY99" s="44">
        <v>0.182</v>
      </c>
      <c r="DZ99" s="44">
        <v>0.61</v>
      </c>
      <c r="EA99" s="44">
        <v>52.17</v>
      </c>
      <c r="EB99" s="44">
        <v>8.9659999999999993</v>
      </c>
      <c r="EC99" s="44">
        <v>3.101</v>
      </c>
      <c r="ED99" s="44" t="s">
        <v>93</v>
      </c>
      <c r="EE99" s="44">
        <v>1.0389999999999999</v>
      </c>
      <c r="EF99" s="44">
        <v>2.2879999999999998</v>
      </c>
      <c r="EG99" s="44">
        <v>28.568000000000001</v>
      </c>
      <c r="EH99" s="44">
        <v>1.484</v>
      </c>
      <c r="EI99" s="44">
        <v>3.0840000000000001</v>
      </c>
      <c r="EJ99" s="44">
        <v>2.2400000000000002</v>
      </c>
      <c r="EK99" s="44">
        <v>0.8</v>
      </c>
      <c r="EL99" s="44">
        <v>1.1100000000000001</v>
      </c>
      <c r="EM99" s="44">
        <v>14.54</v>
      </c>
      <c r="EN99" s="44">
        <v>11.61</v>
      </c>
      <c r="EO99" s="44">
        <v>0.18</v>
      </c>
      <c r="EP99" s="44" t="s">
        <v>87</v>
      </c>
      <c r="EQ99" s="44" t="s">
        <v>87</v>
      </c>
      <c r="ER99" s="44">
        <v>31.88</v>
      </c>
      <c r="ES99" s="44">
        <v>22.3</v>
      </c>
      <c r="ET99" s="44">
        <v>3.22</v>
      </c>
      <c r="EU99" s="44">
        <v>1.1499999999999999</v>
      </c>
      <c r="EV99" s="44">
        <v>1.1000000000000001</v>
      </c>
      <c r="EW99" s="44">
        <v>6.27</v>
      </c>
      <c r="EX99" s="44">
        <v>2825</v>
      </c>
      <c r="EY99" s="44">
        <v>916</v>
      </c>
      <c r="EZ99" s="44">
        <v>71</v>
      </c>
      <c r="FA99" s="44"/>
      <c r="FB99" s="44">
        <v>1496</v>
      </c>
      <c r="FC99" s="44"/>
      <c r="FD99" s="44">
        <v>14130</v>
      </c>
      <c r="FE99" s="44">
        <v>9925</v>
      </c>
      <c r="FF99" s="44">
        <v>9.31</v>
      </c>
      <c r="FG99" s="44">
        <v>7029</v>
      </c>
      <c r="FH99" s="44">
        <v>9787</v>
      </c>
      <c r="FI99" s="44">
        <v>1335</v>
      </c>
      <c r="FJ99" s="44">
        <v>1407</v>
      </c>
      <c r="FK99" s="44">
        <v>18783</v>
      </c>
      <c r="FL99" s="44">
        <v>7.02</v>
      </c>
      <c r="FM99" s="44">
        <v>10502</v>
      </c>
      <c r="FN99" s="44">
        <v>9385</v>
      </c>
      <c r="FO99" s="44">
        <v>2746</v>
      </c>
      <c r="FP99" s="44">
        <v>2775</v>
      </c>
      <c r="FQ99" s="44">
        <v>37088</v>
      </c>
      <c r="FR99" s="44">
        <v>20877</v>
      </c>
      <c r="FS99" s="44">
        <v>56906</v>
      </c>
      <c r="FT99" s="44">
        <v>69665</v>
      </c>
      <c r="FU99" s="44">
        <v>15187</v>
      </c>
      <c r="FV99" s="44">
        <v>70289</v>
      </c>
      <c r="FW99" s="44">
        <v>22428</v>
      </c>
      <c r="FX99" s="44">
        <v>16762</v>
      </c>
      <c r="FY99" s="44">
        <v>410</v>
      </c>
      <c r="FZ99" s="44">
        <v>2968</v>
      </c>
      <c r="GA99" s="44">
        <v>29025</v>
      </c>
      <c r="GB99" s="44">
        <v>2382</v>
      </c>
      <c r="GC99" s="44">
        <v>18664</v>
      </c>
      <c r="GD99" s="44">
        <v>9377</v>
      </c>
      <c r="GE99" s="44">
        <v>15244</v>
      </c>
      <c r="GF99" s="44">
        <v>34403</v>
      </c>
      <c r="GG99" s="44">
        <v>49333</v>
      </c>
      <c r="GH99" s="44">
        <v>7899</v>
      </c>
      <c r="GI99" s="44">
        <v>4.29</v>
      </c>
      <c r="GJ99" s="44">
        <v>41095</v>
      </c>
      <c r="GK99" s="44">
        <v>33556</v>
      </c>
      <c r="GL99" s="44">
        <v>72273</v>
      </c>
      <c r="GM99" s="44">
        <v>36.409999999999997</v>
      </c>
      <c r="GN99" s="44">
        <v>24661</v>
      </c>
      <c r="GO99" s="44">
        <v>27853</v>
      </c>
      <c r="GP99" s="44">
        <v>40.99</v>
      </c>
      <c r="GQ99" s="44">
        <v>77280</v>
      </c>
      <c r="GR99" s="44">
        <v>17054</v>
      </c>
      <c r="GS99" s="44">
        <v>499</v>
      </c>
      <c r="GT99" s="44">
        <v>44.22</v>
      </c>
      <c r="GU99" s="44">
        <v>12103</v>
      </c>
      <c r="GV99" s="44">
        <v>29773</v>
      </c>
      <c r="GW99" s="44">
        <v>47494</v>
      </c>
      <c r="GX99" s="44">
        <v>20428</v>
      </c>
      <c r="GY99" s="44">
        <v>2823</v>
      </c>
      <c r="GZ99" s="44">
        <v>933</v>
      </c>
      <c r="HA99" s="44">
        <v>5542</v>
      </c>
      <c r="HB99" s="44">
        <v>27773</v>
      </c>
      <c r="HC99" s="44">
        <v>0</v>
      </c>
      <c r="HD99" s="44">
        <v>12698</v>
      </c>
      <c r="HE99" s="44">
        <v>45291</v>
      </c>
      <c r="HF99" s="44">
        <v>581</v>
      </c>
      <c r="HG99" s="44">
        <v>39955</v>
      </c>
      <c r="HH99" s="44">
        <v>28665</v>
      </c>
      <c r="HI99" s="44">
        <v>5372</v>
      </c>
      <c r="HJ99" s="44">
        <v>852</v>
      </c>
      <c r="HK99" s="44">
        <v>47707</v>
      </c>
      <c r="HL99" s="44">
        <v>2488</v>
      </c>
      <c r="HM99" s="44">
        <v>1114</v>
      </c>
      <c r="HN99" s="44">
        <v>29152</v>
      </c>
      <c r="HO99" s="44">
        <v>11945</v>
      </c>
      <c r="HP99" s="44">
        <v>46941</v>
      </c>
      <c r="HQ99" s="44">
        <v>49046</v>
      </c>
      <c r="HR99" s="44">
        <v>12150</v>
      </c>
      <c r="HS99" s="44">
        <v>2326</v>
      </c>
      <c r="HT99" s="44">
        <v>25336</v>
      </c>
      <c r="HU99" s="44">
        <v>41431</v>
      </c>
      <c r="HV99" s="44">
        <v>1980</v>
      </c>
      <c r="HW99" s="44">
        <v>2198</v>
      </c>
      <c r="HX99" s="44">
        <v>3499</v>
      </c>
      <c r="HY99" s="44">
        <v>33990</v>
      </c>
      <c r="HZ99" s="44">
        <v>31750</v>
      </c>
      <c r="IA99" s="44">
        <v>15981</v>
      </c>
      <c r="IB99" s="44">
        <v>10422</v>
      </c>
      <c r="IC99" s="44">
        <v>1410</v>
      </c>
      <c r="ID99" s="44">
        <v>13202</v>
      </c>
      <c r="IE99" s="44">
        <v>30450</v>
      </c>
      <c r="IF99" s="44">
        <v>4358</v>
      </c>
      <c r="IG99" s="44">
        <v>10743.65</v>
      </c>
      <c r="IH99" s="44">
        <v>2119</v>
      </c>
      <c r="II99" s="44">
        <v>4693</v>
      </c>
      <c r="IJ99" s="44">
        <v>647.5</v>
      </c>
      <c r="IK99" s="43">
        <v>20889.150000000001</v>
      </c>
      <c r="IL99" s="43">
        <v>36158</v>
      </c>
      <c r="IM99" s="43">
        <v>3465.95</v>
      </c>
      <c r="IN99" s="43">
        <v>5582</v>
      </c>
      <c r="IO99" s="43">
        <v>1116</v>
      </c>
      <c r="IP99" s="43">
        <v>8444</v>
      </c>
      <c r="IQ99" s="43">
        <v>19207</v>
      </c>
      <c r="IR99" s="43">
        <v>25125</v>
      </c>
      <c r="IS99" s="45">
        <v>11817.5</v>
      </c>
      <c r="IT99" s="45">
        <v>9717</v>
      </c>
      <c r="IU99" s="45"/>
      <c r="IV99" s="44"/>
      <c r="IW99" s="44"/>
      <c r="IX99" s="44"/>
      <c r="IY99" s="44">
        <v>0</v>
      </c>
      <c r="IZ99" s="44">
        <v>0</v>
      </c>
      <c r="JA99" s="44" t="s">
        <v>93</v>
      </c>
      <c r="JB99" s="44" t="s">
        <v>93</v>
      </c>
      <c r="JC99" s="44" t="s">
        <v>93</v>
      </c>
      <c r="JD99" s="44" t="s">
        <v>93</v>
      </c>
      <c r="JE99" s="44" t="s">
        <v>93</v>
      </c>
      <c r="JF99" s="44">
        <v>0</v>
      </c>
      <c r="JG99" s="44">
        <v>439</v>
      </c>
      <c r="JH99" s="44">
        <v>206</v>
      </c>
      <c r="JI99" s="44" t="s">
        <v>150</v>
      </c>
      <c r="JJ99" s="44">
        <v>0</v>
      </c>
      <c r="JK99" s="44">
        <v>0</v>
      </c>
      <c r="JL99" s="44">
        <v>0</v>
      </c>
      <c r="JM99" s="44">
        <v>0</v>
      </c>
      <c r="JN99" s="44">
        <v>0</v>
      </c>
      <c r="JO99" s="44">
        <v>0</v>
      </c>
      <c r="JP99" s="44">
        <v>0</v>
      </c>
      <c r="JQ99" s="44">
        <v>0</v>
      </c>
      <c r="JR99" s="44">
        <v>4677</v>
      </c>
      <c r="JS99" s="44">
        <v>2075</v>
      </c>
      <c r="JT99" s="44">
        <v>15191</v>
      </c>
      <c r="JU99" s="44">
        <v>7349</v>
      </c>
      <c r="JV99" s="44">
        <v>5436</v>
      </c>
      <c r="JW99" s="44">
        <v>5960</v>
      </c>
      <c r="JX99" s="44">
        <v>740</v>
      </c>
      <c r="JY99" s="44">
        <v>11400</v>
      </c>
      <c r="JZ99" s="44">
        <v>316</v>
      </c>
      <c r="KA99" s="44">
        <v>1192</v>
      </c>
      <c r="KB99" s="44">
        <v>1334</v>
      </c>
      <c r="KC99" s="44">
        <v>8121</v>
      </c>
      <c r="KD99" s="44">
        <v>5158</v>
      </c>
      <c r="KE99" s="44">
        <v>2133</v>
      </c>
      <c r="KF99" s="44">
        <v>6035</v>
      </c>
      <c r="KG99" s="44">
        <v>9834</v>
      </c>
      <c r="KH99" s="44">
        <v>1910</v>
      </c>
      <c r="KI99" s="44">
        <v>3993</v>
      </c>
      <c r="KJ99" s="44">
        <v>6415</v>
      </c>
      <c r="KK99" s="44">
        <v>3647</v>
      </c>
      <c r="KL99" s="44">
        <v>559</v>
      </c>
      <c r="KM99" s="44">
        <v>9869</v>
      </c>
      <c r="KN99" s="146">
        <v>357</v>
      </c>
      <c r="KO99" s="146">
        <v>1928</v>
      </c>
      <c r="KP99" s="146">
        <v>3980</v>
      </c>
      <c r="KQ99" s="146">
        <v>2140</v>
      </c>
      <c r="KR99" s="146">
        <v>16</v>
      </c>
      <c r="KS99" s="146">
        <v>0</v>
      </c>
      <c r="KT99" s="146">
        <v>73</v>
      </c>
      <c r="KU99" s="146">
        <v>1845</v>
      </c>
      <c r="KV99" s="146">
        <v>0</v>
      </c>
      <c r="KW99" s="146">
        <v>5541</v>
      </c>
      <c r="KX99" s="146">
        <v>2044</v>
      </c>
      <c r="KY99" s="146">
        <v>0</v>
      </c>
      <c r="KZ99" s="146">
        <v>972</v>
      </c>
      <c r="LA99" s="146">
        <v>2292</v>
      </c>
      <c r="LB99" s="146">
        <v>8768</v>
      </c>
      <c r="LC99" s="146">
        <v>1333</v>
      </c>
      <c r="LD99" s="146">
        <v>5852</v>
      </c>
      <c r="LE99" s="146">
        <v>683</v>
      </c>
      <c r="LF99" s="146">
        <v>1793</v>
      </c>
      <c r="LG99" s="146">
        <v>6160</v>
      </c>
      <c r="LH99" s="146">
        <v>1988</v>
      </c>
      <c r="LI99" s="146">
        <v>108</v>
      </c>
      <c r="LJ99" s="146">
        <v>1086</v>
      </c>
      <c r="LK99" s="146">
        <v>566</v>
      </c>
      <c r="LL99" s="146">
        <v>0</v>
      </c>
      <c r="LM99" s="146">
        <v>82</v>
      </c>
      <c r="LN99" s="146">
        <v>2498</v>
      </c>
      <c r="LO99" s="146">
        <v>0</v>
      </c>
      <c r="LP99" s="146">
        <v>1127</v>
      </c>
      <c r="LQ99" s="146">
        <v>1888</v>
      </c>
      <c r="LR99" s="146">
        <v>8403</v>
      </c>
      <c r="LS99" s="146">
        <v>5551</v>
      </c>
      <c r="LT99" s="146">
        <v>368</v>
      </c>
      <c r="LU99" s="43"/>
      <c r="LV99" s="43"/>
      <c r="LW99" s="43"/>
      <c r="LX99" s="43"/>
    </row>
    <row r="100" spans="1:336" s="29" customFormat="1" x14ac:dyDescent="0.3">
      <c r="A100" s="47" t="s">
        <v>99</v>
      </c>
      <c r="B100" s="48" t="s">
        <v>100</v>
      </c>
      <c r="C100" s="49">
        <v>0.18</v>
      </c>
      <c r="D100" s="44" t="s">
        <v>86</v>
      </c>
      <c r="E100" s="44" t="s">
        <v>86</v>
      </c>
      <c r="F100" s="44" t="s">
        <v>86</v>
      </c>
      <c r="G100" s="44">
        <v>0.14599999999999999</v>
      </c>
      <c r="H100" s="44" t="s">
        <v>86</v>
      </c>
      <c r="I100" s="44" t="s">
        <v>86</v>
      </c>
      <c r="J100" s="44" t="s">
        <v>86</v>
      </c>
      <c r="K100" s="44" t="s">
        <v>86</v>
      </c>
      <c r="L100" s="44" t="s">
        <v>86</v>
      </c>
      <c r="M100" s="44" t="s">
        <v>86</v>
      </c>
      <c r="N100" s="44" t="s">
        <v>86</v>
      </c>
      <c r="O100" s="44" t="s">
        <v>86</v>
      </c>
      <c r="P100" s="44" t="s">
        <v>86</v>
      </c>
      <c r="Q100" s="44" t="s">
        <v>86</v>
      </c>
      <c r="R100" s="44" t="s">
        <v>86</v>
      </c>
      <c r="S100" s="44" t="s">
        <v>86</v>
      </c>
      <c r="T100" s="44" t="s">
        <v>86</v>
      </c>
      <c r="U100" s="44" t="s">
        <v>86</v>
      </c>
      <c r="V100" s="44" t="s">
        <v>86</v>
      </c>
      <c r="W100" s="44" t="s">
        <v>101</v>
      </c>
      <c r="X100" s="44" t="s">
        <v>86</v>
      </c>
      <c r="Y100" s="44" t="s">
        <v>86</v>
      </c>
      <c r="Z100" s="44" t="s">
        <v>86</v>
      </c>
      <c r="AA100" s="44" t="s">
        <v>86</v>
      </c>
      <c r="AB100" s="44" t="s">
        <v>86</v>
      </c>
      <c r="AC100" s="44" t="s">
        <v>86</v>
      </c>
      <c r="AD100" s="44" t="s">
        <v>86</v>
      </c>
      <c r="AE100" s="44" t="s">
        <v>86</v>
      </c>
      <c r="AF100" s="44" t="s">
        <v>86</v>
      </c>
      <c r="AG100" s="44" t="s">
        <v>86</v>
      </c>
      <c r="AH100" s="44" t="s">
        <v>86</v>
      </c>
      <c r="AI100" s="44" t="s">
        <v>86</v>
      </c>
      <c r="AJ100" s="44" t="s">
        <v>86</v>
      </c>
      <c r="AK100" s="44" t="s">
        <v>86</v>
      </c>
      <c r="AL100" s="44" t="s">
        <v>86</v>
      </c>
      <c r="AM100" s="44" t="s">
        <v>86</v>
      </c>
      <c r="AN100" s="44" t="s">
        <v>86</v>
      </c>
      <c r="AO100" s="44" t="s">
        <v>86</v>
      </c>
      <c r="AP100" s="44" t="s">
        <v>86</v>
      </c>
      <c r="AQ100" s="44" t="s">
        <v>86</v>
      </c>
      <c r="AR100" s="44" t="s">
        <v>86</v>
      </c>
      <c r="AS100" s="44">
        <v>0.22726099999999999</v>
      </c>
      <c r="AT100" s="44">
        <v>0.15</v>
      </c>
      <c r="AU100" s="44">
        <v>0.31369599999999997</v>
      </c>
      <c r="AV100" s="44" t="s">
        <v>86</v>
      </c>
      <c r="AW100" s="44" t="s">
        <v>86</v>
      </c>
      <c r="AX100" s="44" t="s">
        <v>86</v>
      </c>
      <c r="AY100" s="44">
        <v>173.14</v>
      </c>
      <c r="AZ100" s="44">
        <v>241.398</v>
      </c>
      <c r="BA100" s="44">
        <v>0.22</v>
      </c>
      <c r="BB100" s="44">
        <v>0.20700000000000002</v>
      </c>
      <c r="BC100" s="44">
        <v>208.90600000000001</v>
      </c>
      <c r="BD100" s="44">
        <v>280.298</v>
      </c>
      <c r="BE100" s="44">
        <v>320.54000000000002</v>
      </c>
      <c r="BF100" s="44">
        <v>195</v>
      </c>
      <c r="BG100" s="44">
        <v>336</v>
      </c>
      <c r="BH100" s="44">
        <v>342.5</v>
      </c>
      <c r="BI100" s="44">
        <v>280.39999999999998</v>
      </c>
      <c r="BJ100" s="44">
        <v>279.39</v>
      </c>
      <c r="BK100" s="44">
        <v>221.8</v>
      </c>
      <c r="BL100" s="44">
        <v>876.71</v>
      </c>
      <c r="BM100" s="44" t="s">
        <v>86</v>
      </c>
      <c r="BN100" s="44" t="s">
        <v>86</v>
      </c>
      <c r="BO100" s="44">
        <v>262.51</v>
      </c>
      <c r="BP100" s="44">
        <v>90.9</v>
      </c>
      <c r="BQ100" s="44">
        <v>553.5</v>
      </c>
      <c r="BR100" s="44">
        <v>1003</v>
      </c>
      <c r="BS100" s="44">
        <v>1339</v>
      </c>
      <c r="BT100" s="44">
        <v>1404.34</v>
      </c>
      <c r="BU100" s="44">
        <v>913</v>
      </c>
      <c r="BV100" s="44">
        <v>1377.5</v>
      </c>
      <c r="BW100" s="44">
        <v>153</v>
      </c>
      <c r="BX100" s="44">
        <v>639.5</v>
      </c>
      <c r="BY100" s="44">
        <v>247</v>
      </c>
      <c r="BZ100" s="44">
        <v>17.68</v>
      </c>
      <c r="CA100" s="44">
        <v>30</v>
      </c>
      <c r="CB100" s="44">
        <v>103.5</v>
      </c>
      <c r="CC100" s="44">
        <v>121</v>
      </c>
      <c r="CD100" s="44">
        <v>309</v>
      </c>
      <c r="CE100" s="44">
        <v>742</v>
      </c>
      <c r="CF100" s="44">
        <v>121</v>
      </c>
      <c r="CG100" s="44" t="s">
        <v>86</v>
      </c>
      <c r="CH100" s="44">
        <v>255</v>
      </c>
      <c r="CI100" s="44">
        <v>35</v>
      </c>
      <c r="CJ100" s="44">
        <v>140</v>
      </c>
      <c r="CK100" s="44">
        <v>80</v>
      </c>
      <c r="CL100" s="44">
        <v>190</v>
      </c>
      <c r="CM100" s="44">
        <v>79</v>
      </c>
      <c r="CN100" s="44">
        <v>60</v>
      </c>
      <c r="CO100" s="44">
        <v>464</v>
      </c>
      <c r="CP100" s="44">
        <v>497</v>
      </c>
      <c r="CQ100" s="44">
        <v>500.95</v>
      </c>
      <c r="CR100" s="44">
        <v>349</v>
      </c>
      <c r="CS100" s="44">
        <v>571</v>
      </c>
      <c r="CT100" s="44">
        <v>400.38</v>
      </c>
      <c r="CU100" s="44">
        <v>456</v>
      </c>
      <c r="CV100" s="44">
        <v>502</v>
      </c>
      <c r="CW100" s="44">
        <v>548</v>
      </c>
      <c r="CX100" s="44">
        <v>318</v>
      </c>
      <c r="CY100" s="44" t="s">
        <v>86</v>
      </c>
      <c r="CZ100" s="44">
        <v>25</v>
      </c>
      <c r="DA100" s="44" t="s">
        <v>86</v>
      </c>
      <c r="DB100" s="44" t="s">
        <v>86</v>
      </c>
      <c r="DC100" s="44" t="s">
        <v>86</v>
      </c>
      <c r="DD100" s="44" t="s">
        <v>86</v>
      </c>
      <c r="DE100" s="44" t="s">
        <v>86</v>
      </c>
      <c r="DF100" s="44" t="s">
        <v>86</v>
      </c>
      <c r="DG100" s="44">
        <v>453</v>
      </c>
      <c r="DH100" s="44">
        <v>309</v>
      </c>
      <c r="DI100" s="44">
        <v>566</v>
      </c>
      <c r="DJ100" s="44">
        <v>631</v>
      </c>
      <c r="DK100" s="44">
        <v>977</v>
      </c>
      <c r="DL100" s="44">
        <v>450</v>
      </c>
      <c r="DM100" s="44">
        <v>686</v>
      </c>
      <c r="DN100" s="44">
        <v>655</v>
      </c>
      <c r="DO100" s="44">
        <v>457</v>
      </c>
      <c r="DP100" s="44">
        <v>562</v>
      </c>
      <c r="DQ100" s="44">
        <v>979</v>
      </c>
      <c r="DR100" s="44">
        <v>330</v>
      </c>
      <c r="DS100" s="44">
        <v>336</v>
      </c>
      <c r="DT100" s="44">
        <v>498</v>
      </c>
      <c r="DU100" s="44">
        <v>288</v>
      </c>
      <c r="DV100" s="44">
        <v>352</v>
      </c>
      <c r="DW100" s="44">
        <v>743</v>
      </c>
      <c r="DX100" s="44">
        <v>755</v>
      </c>
      <c r="DY100" s="44">
        <v>485</v>
      </c>
      <c r="DZ100" s="44">
        <v>531</v>
      </c>
      <c r="EA100" s="44">
        <v>762</v>
      </c>
      <c r="EB100" s="44">
        <v>739</v>
      </c>
      <c r="EC100" s="44">
        <v>718</v>
      </c>
      <c r="ED100" s="44">
        <v>749</v>
      </c>
      <c r="EE100" s="44">
        <v>761</v>
      </c>
      <c r="EF100" s="44">
        <v>593</v>
      </c>
      <c r="EG100" s="44">
        <v>453</v>
      </c>
      <c r="EH100" s="44">
        <v>683</v>
      </c>
      <c r="EI100" s="44">
        <v>410</v>
      </c>
      <c r="EJ100" s="44">
        <v>227</v>
      </c>
      <c r="EK100" s="44">
        <v>520</v>
      </c>
      <c r="EL100" s="44">
        <v>260.25</v>
      </c>
      <c r="EM100" s="44">
        <v>260.25</v>
      </c>
      <c r="EN100" s="44">
        <v>411</v>
      </c>
      <c r="EO100" s="44">
        <v>427</v>
      </c>
      <c r="EP100" s="44">
        <v>462</v>
      </c>
      <c r="EQ100" s="44">
        <v>0.22</v>
      </c>
      <c r="ER100" s="44">
        <v>0.27</v>
      </c>
      <c r="ES100" s="44">
        <v>741</v>
      </c>
      <c r="ET100" s="44">
        <v>984</v>
      </c>
      <c r="EU100" s="44">
        <v>227</v>
      </c>
      <c r="EV100" s="44">
        <v>1.1000000000000001</v>
      </c>
      <c r="EW100" s="44">
        <v>757</v>
      </c>
      <c r="EX100" s="44">
        <v>236</v>
      </c>
      <c r="EY100" s="44">
        <v>354</v>
      </c>
      <c r="EZ100" s="44">
        <v>1203</v>
      </c>
      <c r="FA100" s="44">
        <v>334</v>
      </c>
      <c r="FB100" s="44">
        <v>272</v>
      </c>
      <c r="FC100" s="44">
        <v>1238</v>
      </c>
      <c r="FD100" s="44">
        <v>321</v>
      </c>
      <c r="FE100" s="44">
        <v>266</v>
      </c>
      <c r="FF100" s="44">
        <v>248</v>
      </c>
      <c r="FG100" s="44">
        <v>721</v>
      </c>
      <c r="FH100" s="44">
        <v>907</v>
      </c>
      <c r="FI100" s="44">
        <v>187</v>
      </c>
      <c r="FJ100" s="44">
        <v>278</v>
      </c>
      <c r="FK100" s="44">
        <v>316</v>
      </c>
      <c r="FL100" s="44">
        <v>612</v>
      </c>
      <c r="FM100" s="44">
        <v>763</v>
      </c>
      <c r="FN100" s="44">
        <v>569</v>
      </c>
      <c r="FO100" s="44">
        <v>490</v>
      </c>
      <c r="FP100" s="44">
        <v>708</v>
      </c>
      <c r="FQ100" s="44">
        <v>444</v>
      </c>
      <c r="FR100" s="44">
        <v>503</v>
      </c>
      <c r="FS100" s="44">
        <v>398</v>
      </c>
      <c r="FT100" s="44">
        <v>593</v>
      </c>
      <c r="FU100" s="44">
        <v>569</v>
      </c>
      <c r="FV100" s="44">
        <v>481</v>
      </c>
      <c r="FW100" s="44">
        <v>609</v>
      </c>
      <c r="FX100" s="44">
        <v>700</v>
      </c>
      <c r="FY100" s="44">
        <v>569</v>
      </c>
      <c r="FZ100" s="44">
        <v>513</v>
      </c>
      <c r="GA100" s="44">
        <v>551</v>
      </c>
      <c r="GB100" s="44">
        <v>584</v>
      </c>
      <c r="GC100" s="44">
        <v>588</v>
      </c>
      <c r="GD100" s="44">
        <v>579</v>
      </c>
      <c r="GE100" s="44">
        <v>476</v>
      </c>
      <c r="GF100" s="44">
        <v>702</v>
      </c>
      <c r="GG100" s="44">
        <v>573</v>
      </c>
      <c r="GH100" s="44">
        <v>701</v>
      </c>
      <c r="GI100" s="44">
        <v>611</v>
      </c>
      <c r="GJ100" s="44">
        <v>520</v>
      </c>
      <c r="GK100" s="44">
        <v>382</v>
      </c>
      <c r="GL100" s="44">
        <v>778</v>
      </c>
      <c r="GM100" s="44">
        <v>190</v>
      </c>
      <c r="GN100" s="44">
        <v>237</v>
      </c>
      <c r="GO100" s="44">
        <v>83</v>
      </c>
      <c r="GP100" s="44">
        <v>70</v>
      </c>
      <c r="GQ100" s="44">
        <v>120</v>
      </c>
      <c r="GR100" s="44">
        <v>42</v>
      </c>
      <c r="GS100" s="44">
        <v>113</v>
      </c>
      <c r="GT100" s="44">
        <v>93</v>
      </c>
      <c r="GU100" s="44">
        <v>127</v>
      </c>
      <c r="GV100" s="44">
        <v>81</v>
      </c>
      <c r="GW100" s="44">
        <v>21.47</v>
      </c>
      <c r="GX100" s="44">
        <v>227</v>
      </c>
      <c r="GY100" s="44">
        <v>188</v>
      </c>
      <c r="GZ100" s="44">
        <v>221</v>
      </c>
      <c r="HA100" s="44">
        <v>105</v>
      </c>
      <c r="HB100" s="44">
        <v>103</v>
      </c>
      <c r="HC100" s="44">
        <v>82</v>
      </c>
      <c r="HD100" s="44">
        <v>85</v>
      </c>
      <c r="HE100" s="44">
        <v>49</v>
      </c>
      <c r="HF100" s="44">
        <v>73</v>
      </c>
      <c r="HG100" s="44">
        <v>88</v>
      </c>
      <c r="HH100" s="44">
        <v>30</v>
      </c>
      <c r="HI100" s="44">
        <v>78</v>
      </c>
      <c r="HJ100" s="44">
        <v>73</v>
      </c>
      <c r="HK100" s="44">
        <v>135</v>
      </c>
      <c r="HL100" s="44">
        <v>107</v>
      </c>
      <c r="HM100" s="44">
        <v>106</v>
      </c>
      <c r="HN100" s="44">
        <v>44</v>
      </c>
      <c r="HO100" s="44">
        <v>11</v>
      </c>
      <c r="HP100" s="44">
        <v>81.900000000000006</v>
      </c>
      <c r="HQ100" s="44">
        <v>49.4</v>
      </c>
      <c r="HR100" s="44">
        <v>134.69</v>
      </c>
      <c r="HS100" s="44">
        <v>173.57</v>
      </c>
      <c r="HT100" s="44">
        <v>656</v>
      </c>
      <c r="HU100" s="44">
        <v>111</v>
      </c>
      <c r="HV100" s="44">
        <v>189.78</v>
      </c>
      <c r="HW100" s="44">
        <v>3</v>
      </c>
      <c r="HX100" s="44">
        <v>49</v>
      </c>
      <c r="HY100" s="44">
        <v>7</v>
      </c>
      <c r="HZ100" s="44">
        <v>37</v>
      </c>
      <c r="IA100" s="44">
        <v>22</v>
      </c>
      <c r="IB100" s="44">
        <v>11</v>
      </c>
      <c r="IC100" s="44">
        <v>12</v>
      </c>
      <c r="ID100" s="44">
        <v>13</v>
      </c>
      <c r="IE100" s="44">
        <v>6.49</v>
      </c>
      <c r="IF100" s="44">
        <v>7</v>
      </c>
      <c r="IG100" s="44">
        <v>0</v>
      </c>
      <c r="IH100" s="44">
        <v>10</v>
      </c>
      <c r="II100" s="44">
        <v>28</v>
      </c>
      <c r="IJ100" s="44">
        <v>16.82</v>
      </c>
      <c r="IK100" s="43">
        <v>24.84</v>
      </c>
      <c r="IL100" s="43">
        <v>27</v>
      </c>
      <c r="IM100" s="43">
        <v>9.7100000000000009</v>
      </c>
      <c r="IN100" s="43">
        <v>35.42</v>
      </c>
      <c r="IO100" s="43">
        <v>21.36</v>
      </c>
      <c r="IP100" s="43">
        <v>17.690000000000001</v>
      </c>
      <c r="IQ100" s="43">
        <v>21</v>
      </c>
      <c r="IR100" s="43">
        <v>27</v>
      </c>
      <c r="IS100" s="45">
        <v>25.09</v>
      </c>
      <c r="IT100" s="45">
        <v>19</v>
      </c>
      <c r="IU100" s="45">
        <v>38</v>
      </c>
      <c r="IV100" s="44">
        <v>22</v>
      </c>
      <c r="IW100" s="44">
        <v>16</v>
      </c>
      <c r="IX100" s="44">
        <v>0</v>
      </c>
      <c r="IY100" s="44">
        <v>141.44999999999999</v>
      </c>
      <c r="IZ100" s="44">
        <v>1</v>
      </c>
      <c r="JA100" s="44">
        <v>4</v>
      </c>
      <c r="JB100" s="44">
        <v>13</v>
      </c>
      <c r="JC100" s="44">
        <v>428</v>
      </c>
      <c r="JD100" s="44">
        <v>3</v>
      </c>
      <c r="JE100" s="44" t="s">
        <v>93</v>
      </c>
      <c r="JF100" s="44">
        <v>12</v>
      </c>
      <c r="JG100" s="44">
        <v>5</v>
      </c>
      <c r="JH100" s="44">
        <v>0</v>
      </c>
      <c r="JI100" s="44">
        <v>0</v>
      </c>
      <c r="JJ100" s="44">
        <v>0</v>
      </c>
      <c r="JK100" s="44">
        <v>29</v>
      </c>
      <c r="JL100" s="44">
        <v>0</v>
      </c>
      <c r="JM100" s="44">
        <v>0</v>
      </c>
      <c r="JN100" s="44">
        <v>0</v>
      </c>
      <c r="JO100" s="44">
        <v>0.09</v>
      </c>
      <c r="JP100" s="44">
        <v>1</v>
      </c>
      <c r="JQ100" s="44">
        <v>0</v>
      </c>
      <c r="JR100" s="44">
        <v>2.0830000000000002</v>
      </c>
      <c r="JS100" s="44">
        <v>1</v>
      </c>
      <c r="JT100" s="44">
        <v>0.63</v>
      </c>
      <c r="JU100" s="44"/>
      <c r="JV100" s="44">
        <v>1</v>
      </c>
      <c r="JW100" s="44">
        <v>3</v>
      </c>
      <c r="JX100" s="44">
        <v>2</v>
      </c>
      <c r="JY100" s="44">
        <v>4.5</v>
      </c>
      <c r="JZ100" s="44">
        <v>8</v>
      </c>
      <c r="KA100" s="44">
        <v>0</v>
      </c>
      <c r="KB100" s="44">
        <v>0</v>
      </c>
      <c r="KC100" s="44">
        <v>0</v>
      </c>
      <c r="KD100" s="44">
        <v>0</v>
      </c>
      <c r="KE100" s="44">
        <v>0</v>
      </c>
      <c r="KF100" s="44">
        <v>0</v>
      </c>
      <c r="KG100" s="44">
        <v>65</v>
      </c>
      <c r="KH100" s="44">
        <v>21</v>
      </c>
      <c r="KI100" s="44">
        <v>273</v>
      </c>
      <c r="KJ100" s="44">
        <v>746.21</v>
      </c>
      <c r="KK100" s="44">
        <v>772.66</v>
      </c>
      <c r="KL100" s="44">
        <v>680</v>
      </c>
      <c r="KM100" s="44">
        <v>835</v>
      </c>
      <c r="KN100" s="146">
        <v>644</v>
      </c>
      <c r="KO100" s="146">
        <v>633</v>
      </c>
      <c r="KP100" s="146">
        <v>753</v>
      </c>
      <c r="KQ100" s="146">
        <v>862</v>
      </c>
      <c r="KR100" s="146">
        <v>844</v>
      </c>
      <c r="KS100" s="146">
        <v>656</v>
      </c>
      <c r="KT100" s="146">
        <v>677</v>
      </c>
      <c r="KU100" s="146">
        <v>697</v>
      </c>
      <c r="KV100" s="146">
        <v>585</v>
      </c>
      <c r="KW100" s="146">
        <v>762</v>
      </c>
      <c r="KX100" s="146">
        <v>831</v>
      </c>
      <c r="KY100" s="146">
        <v>614.20000000000005</v>
      </c>
      <c r="KZ100" s="146">
        <v>837</v>
      </c>
      <c r="LA100" s="146">
        <v>840</v>
      </c>
      <c r="LB100" s="146">
        <v>2833</v>
      </c>
      <c r="LC100" s="146">
        <v>794</v>
      </c>
      <c r="LD100" s="146">
        <v>650</v>
      </c>
      <c r="LE100" s="146">
        <v>596</v>
      </c>
      <c r="LF100" s="146">
        <v>1011.0699999999999</v>
      </c>
      <c r="LG100" s="146">
        <v>326.13599999999997</v>
      </c>
      <c r="LH100" s="146">
        <v>735.5</v>
      </c>
      <c r="LI100" s="146">
        <v>935</v>
      </c>
      <c r="LJ100" s="146">
        <v>453</v>
      </c>
      <c r="LK100" s="146">
        <v>593</v>
      </c>
      <c r="LL100" s="146">
        <v>823</v>
      </c>
      <c r="LM100" s="146">
        <v>944.13499999999999</v>
      </c>
      <c r="LN100" s="146">
        <v>692</v>
      </c>
      <c r="LO100" s="146">
        <v>750</v>
      </c>
      <c r="LP100" s="146">
        <v>1069</v>
      </c>
      <c r="LQ100" s="146">
        <v>1463.3380000000002</v>
      </c>
      <c r="LR100" s="146">
        <v>3215</v>
      </c>
      <c r="LS100" s="146">
        <v>757.82899999999995</v>
      </c>
      <c r="LT100" s="146">
        <v>1521</v>
      </c>
      <c r="LU100" s="43"/>
      <c r="LV100" s="43"/>
      <c r="LW100" s="43"/>
      <c r="LX100" s="43"/>
    </row>
    <row r="101" spans="1:336" s="29" customFormat="1" x14ac:dyDescent="0.3">
      <c r="A101" s="33" t="s">
        <v>16</v>
      </c>
      <c r="B101" s="46" t="s">
        <v>89</v>
      </c>
      <c r="C101" s="43" t="s">
        <v>86</v>
      </c>
      <c r="D101" s="44" t="s">
        <v>86</v>
      </c>
      <c r="E101" s="44" t="s">
        <v>86</v>
      </c>
      <c r="F101" s="44">
        <v>78.239999999999995</v>
      </c>
      <c r="G101" s="44" t="s">
        <v>86</v>
      </c>
      <c r="H101" s="44" t="s">
        <v>86</v>
      </c>
      <c r="I101" s="44">
        <v>21.9</v>
      </c>
      <c r="J101" s="44" t="s">
        <v>86</v>
      </c>
      <c r="K101" s="44">
        <v>18</v>
      </c>
      <c r="L101" s="44">
        <v>181</v>
      </c>
      <c r="M101" s="44">
        <v>79.599999999999994</v>
      </c>
      <c r="N101" s="44">
        <v>32</v>
      </c>
      <c r="O101" s="44">
        <v>70</v>
      </c>
      <c r="P101" s="44">
        <v>40.5</v>
      </c>
      <c r="Q101" s="44" t="s">
        <v>86</v>
      </c>
      <c r="R101" s="44">
        <v>46.83</v>
      </c>
      <c r="S101" s="44">
        <v>29</v>
      </c>
      <c r="T101" s="44" t="s">
        <v>86</v>
      </c>
      <c r="U101" s="44">
        <v>5</v>
      </c>
      <c r="V101" s="44">
        <v>50.3</v>
      </c>
      <c r="W101" s="44">
        <v>276</v>
      </c>
      <c r="X101" s="44">
        <v>20</v>
      </c>
      <c r="Y101" s="44">
        <v>96</v>
      </c>
      <c r="Z101" s="44">
        <v>43.5</v>
      </c>
      <c r="AA101" s="44">
        <v>25.2</v>
      </c>
      <c r="AB101" s="44">
        <v>61.3</v>
      </c>
      <c r="AC101" s="44">
        <v>54</v>
      </c>
      <c r="AD101" s="44">
        <v>25</v>
      </c>
      <c r="AE101" s="44">
        <v>23.18</v>
      </c>
      <c r="AF101" s="44">
        <v>8</v>
      </c>
      <c r="AG101" s="44">
        <v>18</v>
      </c>
      <c r="AH101" s="44">
        <v>14</v>
      </c>
      <c r="AI101" s="44" t="s">
        <v>86</v>
      </c>
      <c r="AJ101" s="44">
        <v>559</v>
      </c>
      <c r="AK101" s="44">
        <v>531.1</v>
      </c>
      <c r="AL101" s="44">
        <v>35</v>
      </c>
      <c r="AM101" s="44">
        <v>479.6</v>
      </c>
      <c r="AN101" s="44">
        <v>1422.5</v>
      </c>
      <c r="AO101" s="44">
        <v>593</v>
      </c>
      <c r="AP101" s="44">
        <v>168</v>
      </c>
      <c r="AQ101" s="44">
        <v>32.020000000000003</v>
      </c>
      <c r="AR101" s="44">
        <v>144.09</v>
      </c>
      <c r="AS101" s="44">
        <f>19.92-AS100</f>
        <v>19.692739000000003</v>
      </c>
      <c r="AT101" s="44">
        <f>18.55-AT100</f>
        <v>18.400000000000002</v>
      </c>
      <c r="AU101" s="44">
        <v>0.2</v>
      </c>
      <c r="AV101" s="44">
        <v>61.25</v>
      </c>
      <c r="AW101" s="44">
        <v>0.27</v>
      </c>
      <c r="AX101" s="44">
        <v>41.71</v>
      </c>
      <c r="AY101" s="44">
        <v>0.17</v>
      </c>
      <c r="AZ101" s="44">
        <v>19.79</v>
      </c>
      <c r="BA101" s="44">
        <v>19.57</v>
      </c>
      <c r="BB101" s="44">
        <v>207.9</v>
      </c>
      <c r="BC101" s="44">
        <v>19.91</v>
      </c>
      <c r="BD101" s="44"/>
      <c r="BE101" s="44"/>
      <c r="BF101" s="44"/>
      <c r="BG101" s="44"/>
      <c r="BH101" s="44"/>
      <c r="BI101" s="44" t="s">
        <v>86</v>
      </c>
      <c r="BJ101" s="44" t="s">
        <v>86</v>
      </c>
      <c r="BK101" s="44" t="s">
        <v>86</v>
      </c>
      <c r="BL101" s="44" t="s">
        <v>86</v>
      </c>
      <c r="BM101" s="44" t="s">
        <v>86</v>
      </c>
      <c r="BN101" s="44" t="s">
        <v>86</v>
      </c>
      <c r="BO101" s="44" t="s">
        <v>86</v>
      </c>
      <c r="BP101" s="44" t="s">
        <v>86</v>
      </c>
      <c r="BQ101" s="44" t="s">
        <v>86</v>
      </c>
      <c r="BR101" s="44" t="s">
        <v>86</v>
      </c>
      <c r="BS101" s="44" t="s">
        <v>86</v>
      </c>
      <c r="BT101" s="44" t="s">
        <v>86</v>
      </c>
      <c r="BU101" s="44" t="s">
        <v>86</v>
      </c>
      <c r="BV101" s="44" t="s">
        <v>86</v>
      </c>
      <c r="BW101" s="44" t="s">
        <v>86</v>
      </c>
      <c r="BX101" s="44" t="s">
        <v>86</v>
      </c>
      <c r="BY101" s="44" t="s">
        <v>86</v>
      </c>
      <c r="BZ101" s="44" t="s">
        <v>86</v>
      </c>
      <c r="CA101" s="44">
        <v>795.68168000000003</v>
      </c>
      <c r="CB101" s="44">
        <v>833.82100000000003</v>
      </c>
      <c r="CC101" s="44"/>
      <c r="CD101" s="44"/>
      <c r="CE101" s="44"/>
      <c r="CF101" s="44"/>
      <c r="CG101" s="44"/>
      <c r="CH101" s="44"/>
      <c r="CI101" s="44"/>
      <c r="CJ101" s="44"/>
      <c r="CK101" s="44"/>
      <c r="CL101" s="44"/>
      <c r="CM101" s="44"/>
      <c r="CN101" s="44"/>
      <c r="CO101" s="44"/>
      <c r="CP101" s="44"/>
      <c r="CQ101" s="44"/>
      <c r="CR101" s="44"/>
      <c r="CS101" s="44"/>
      <c r="CT101" s="44"/>
      <c r="CU101" s="44"/>
      <c r="CV101" s="44"/>
      <c r="CW101" s="44"/>
      <c r="CX101" s="44"/>
      <c r="CY101" s="44"/>
      <c r="CZ101" s="44"/>
      <c r="DA101" s="44" t="s">
        <v>86</v>
      </c>
      <c r="DB101" s="44" t="s">
        <v>86</v>
      </c>
      <c r="DC101" s="44" t="s">
        <v>86</v>
      </c>
      <c r="DD101" s="44" t="s">
        <v>86</v>
      </c>
      <c r="DE101" s="44" t="s">
        <v>86</v>
      </c>
      <c r="DF101" s="44" t="s">
        <v>86</v>
      </c>
      <c r="DG101" s="44">
        <v>52.02</v>
      </c>
      <c r="DH101" s="44">
        <v>31.02</v>
      </c>
      <c r="DI101" s="44">
        <v>11.11</v>
      </c>
      <c r="DJ101" s="44">
        <v>57.41</v>
      </c>
      <c r="DK101" s="44">
        <v>48.16</v>
      </c>
      <c r="DL101" s="44">
        <v>24.12</v>
      </c>
      <c r="DM101" s="44">
        <v>48.58</v>
      </c>
      <c r="DN101" s="44">
        <v>37.49</v>
      </c>
      <c r="DO101" s="44">
        <v>49.35</v>
      </c>
      <c r="DP101" s="44">
        <v>61.55</v>
      </c>
      <c r="DQ101" s="44">
        <v>51.91</v>
      </c>
      <c r="DR101" s="44">
        <v>49.46</v>
      </c>
      <c r="DS101" s="44">
        <v>61.88</v>
      </c>
      <c r="DT101" s="44">
        <v>63.04</v>
      </c>
      <c r="DU101" s="44">
        <v>49.46</v>
      </c>
      <c r="DV101" s="44">
        <v>48.17</v>
      </c>
      <c r="DW101" s="44">
        <v>50.62</v>
      </c>
      <c r="DX101" s="44">
        <v>63.36</v>
      </c>
      <c r="DY101" s="44">
        <v>48.96</v>
      </c>
      <c r="DZ101" s="44">
        <v>50.4</v>
      </c>
      <c r="EA101" s="44">
        <v>36</v>
      </c>
      <c r="EB101" s="44">
        <v>77.040000000000006</v>
      </c>
      <c r="EC101" s="44">
        <v>64.08</v>
      </c>
      <c r="ED101" s="44">
        <v>60.48</v>
      </c>
      <c r="EE101" s="44">
        <v>50.04</v>
      </c>
      <c r="EF101" s="44">
        <v>81</v>
      </c>
      <c r="EG101" s="44">
        <v>8.2799999999999994</v>
      </c>
      <c r="EH101" s="44" t="s">
        <v>87</v>
      </c>
      <c r="EI101" s="44" t="s">
        <v>87</v>
      </c>
      <c r="EJ101" s="44" t="s">
        <v>87</v>
      </c>
      <c r="EK101" s="44" t="s">
        <v>87</v>
      </c>
      <c r="EL101" s="44" t="s">
        <v>87</v>
      </c>
      <c r="EM101" s="44" t="s">
        <v>87</v>
      </c>
      <c r="EN101" s="44" t="s">
        <v>87</v>
      </c>
      <c r="EO101" s="44" t="s">
        <v>87</v>
      </c>
      <c r="EP101" s="44" t="s">
        <v>87</v>
      </c>
      <c r="EQ101" s="44" t="s">
        <v>87</v>
      </c>
      <c r="ER101" s="44" t="s">
        <v>87</v>
      </c>
      <c r="ES101" s="44" t="s">
        <v>87</v>
      </c>
      <c r="ET101" s="44" t="s">
        <v>87</v>
      </c>
      <c r="EU101" s="44" t="s">
        <v>87</v>
      </c>
      <c r="EV101" s="44" t="s">
        <v>87</v>
      </c>
      <c r="EW101" s="44" t="s">
        <v>87</v>
      </c>
      <c r="EX101" s="44" t="s">
        <v>87</v>
      </c>
      <c r="EY101" s="44" t="s">
        <v>87</v>
      </c>
      <c r="EZ101" s="44" t="s">
        <v>87</v>
      </c>
      <c r="FA101" s="44" t="s">
        <v>87</v>
      </c>
      <c r="FB101" s="44">
        <v>60.85</v>
      </c>
      <c r="FC101" s="44">
        <v>202.54</v>
      </c>
      <c r="FD101" s="44">
        <v>42.15</v>
      </c>
      <c r="FE101" s="44">
        <v>65.66</v>
      </c>
      <c r="FF101" s="44">
        <v>44.13</v>
      </c>
      <c r="FG101" s="44">
        <v>20.079999999999998</v>
      </c>
      <c r="FH101" s="44">
        <v>62.83</v>
      </c>
      <c r="FI101" s="44">
        <v>39.14</v>
      </c>
      <c r="FJ101" s="44">
        <v>39.32</v>
      </c>
      <c r="FK101" s="44">
        <v>42.39</v>
      </c>
      <c r="FL101" s="44">
        <v>20.079999999999998</v>
      </c>
      <c r="FM101" s="44">
        <v>62.47</v>
      </c>
      <c r="FN101" s="44">
        <v>38.659999999999997</v>
      </c>
      <c r="FO101" s="44">
        <v>96.62</v>
      </c>
      <c r="FP101" s="44">
        <v>50</v>
      </c>
      <c r="FQ101" s="44">
        <v>29.76</v>
      </c>
      <c r="FR101" s="44">
        <v>59.34</v>
      </c>
      <c r="FS101" s="44">
        <v>55.02</v>
      </c>
      <c r="FT101" s="44">
        <v>59.52</v>
      </c>
      <c r="FU101" s="44">
        <v>79.37</v>
      </c>
      <c r="FV101" s="44">
        <v>59.52</v>
      </c>
      <c r="FW101" s="44">
        <v>79.37</v>
      </c>
      <c r="FX101" s="44">
        <v>21.65</v>
      </c>
      <c r="FY101" s="44">
        <v>64.94</v>
      </c>
      <c r="FZ101" s="44">
        <v>86.58</v>
      </c>
      <c r="GA101" s="44">
        <v>43.29</v>
      </c>
      <c r="GB101" s="44">
        <v>43.29</v>
      </c>
      <c r="GC101" s="44">
        <v>64.94</v>
      </c>
      <c r="GD101" s="44">
        <v>43.29</v>
      </c>
      <c r="GE101" s="44">
        <v>64.94</v>
      </c>
      <c r="GF101" s="44">
        <v>43.29</v>
      </c>
      <c r="GG101" s="44">
        <v>64.94</v>
      </c>
      <c r="GH101" s="44">
        <v>64.94</v>
      </c>
      <c r="GI101" s="44">
        <v>64.94</v>
      </c>
      <c r="GJ101" s="44">
        <v>64.94</v>
      </c>
      <c r="GK101" s="44">
        <v>43.29</v>
      </c>
      <c r="GL101" s="44">
        <v>52.79</v>
      </c>
      <c r="GM101" s="44">
        <v>43.29</v>
      </c>
      <c r="GN101" s="44">
        <v>64.94</v>
      </c>
      <c r="GO101" s="44">
        <v>86.58</v>
      </c>
      <c r="GP101" s="44">
        <v>64.94</v>
      </c>
      <c r="GQ101" s="44">
        <v>21.65</v>
      </c>
      <c r="GR101" s="44">
        <v>43.29</v>
      </c>
      <c r="GS101" s="44">
        <v>63.73</v>
      </c>
      <c r="GT101" s="44">
        <v>84.18</v>
      </c>
      <c r="GU101" s="44">
        <v>43.29</v>
      </c>
      <c r="GV101" s="44">
        <v>62.77</v>
      </c>
      <c r="GW101" s="44">
        <v>62.77</v>
      </c>
      <c r="GX101" s="44">
        <v>76.180000000000007</v>
      </c>
      <c r="GY101" s="44">
        <v>62.77</v>
      </c>
      <c r="GZ101" s="44">
        <v>43.29</v>
      </c>
      <c r="HA101" s="44">
        <v>66.53</v>
      </c>
      <c r="HB101" s="44">
        <v>43.29</v>
      </c>
      <c r="HC101" s="44">
        <v>43.29</v>
      </c>
      <c r="HD101" s="44">
        <v>68.819999999999993</v>
      </c>
      <c r="HE101" s="44">
        <v>45.88</v>
      </c>
      <c r="HF101" s="44">
        <v>45.88</v>
      </c>
      <c r="HG101" s="44">
        <v>43.2</v>
      </c>
      <c r="HH101" s="44">
        <v>86.4</v>
      </c>
      <c r="HI101" s="44">
        <v>53.33</v>
      </c>
      <c r="HJ101" s="44">
        <v>66.11</v>
      </c>
      <c r="HK101" s="44">
        <v>43.2</v>
      </c>
      <c r="HL101" s="44">
        <v>86.4</v>
      </c>
      <c r="HM101" s="44">
        <v>21.6</v>
      </c>
      <c r="HN101" s="44">
        <v>64.8</v>
      </c>
      <c r="HO101" s="44">
        <v>21.6</v>
      </c>
      <c r="HP101" s="44">
        <v>129.12</v>
      </c>
      <c r="HQ101" s="44">
        <v>42.72</v>
      </c>
      <c r="HR101" s="44">
        <v>61.6</v>
      </c>
      <c r="HS101" s="44">
        <v>40</v>
      </c>
      <c r="HT101" s="44">
        <v>40</v>
      </c>
      <c r="HU101" s="44">
        <v>53.548999999999999</v>
      </c>
      <c r="HV101" s="44">
        <v>80</v>
      </c>
      <c r="HW101" s="44">
        <v>60</v>
      </c>
      <c r="HX101" s="44">
        <v>40</v>
      </c>
      <c r="HY101" s="44">
        <v>40</v>
      </c>
      <c r="HZ101" s="44">
        <f>+[1]Exports!$GM$168</f>
        <v>60</v>
      </c>
      <c r="IA101" s="44">
        <v>80</v>
      </c>
      <c r="IB101" s="44">
        <v>40</v>
      </c>
      <c r="IC101" s="44">
        <v>20</v>
      </c>
      <c r="ID101" s="44">
        <v>60</v>
      </c>
      <c r="IE101" s="44">
        <v>68.709999999999994</v>
      </c>
      <c r="IF101" s="44">
        <v>60</v>
      </c>
      <c r="IG101" s="44">
        <v>60</v>
      </c>
      <c r="IH101" s="44">
        <v>60</v>
      </c>
      <c r="II101" s="44">
        <v>60</v>
      </c>
      <c r="IJ101" s="44">
        <v>60</v>
      </c>
      <c r="IK101" s="43">
        <v>40</v>
      </c>
      <c r="IL101" s="43">
        <v>60</v>
      </c>
      <c r="IM101" s="43">
        <v>60</v>
      </c>
      <c r="IN101" s="43">
        <v>60</v>
      </c>
      <c r="IO101" s="43">
        <v>20</v>
      </c>
      <c r="IP101" s="43">
        <v>60</v>
      </c>
      <c r="IQ101" s="43">
        <v>20</v>
      </c>
      <c r="IR101" s="43">
        <v>20</v>
      </c>
      <c r="IS101" s="43">
        <v>40</v>
      </c>
      <c r="IT101" s="43">
        <v>20</v>
      </c>
      <c r="IU101" s="43">
        <v>60</v>
      </c>
      <c r="IV101" s="43">
        <v>80</v>
      </c>
      <c r="IW101" s="43">
        <v>40</v>
      </c>
      <c r="IX101" s="43">
        <v>100</v>
      </c>
      <c r="IY101" s="43">
        <v>40</v>
      </c>
      <c r="IZ101" s="43">
        <v>40</v>
      </c>
      <c r="JA101" s="43">
        <v>60</v>
      </c>
      <c r="JB101" s="43">
        <v>40</v>
      </c>
      <c r="JC101" s="43">
        <v>40</v>
      </c>
      <c r="JD101" s="43">
        <v>40</v>
      </c>
      <c r="JE101" s="43">
        <v>40</v>
      </c>
      <c r="JF101" s="43">
        <v>21</v>
      </c>
      <c r="JG101" s="43">
        <v>40</v>
      </c>
      <c r="JH101" s="43">
        <v>20</v>
      </c>
      <c r="JI101" s="43">
        <v>40</v>
      </c>
      <c r="JJ101" s="43">
        <v>23.39</v>
      </c>
      <c r="JK101" s="43">
        <v>20</v>
      </c>
      <c r="JL101" s="43">
        <v>0</v>
      </c>
      <c r="JM101" s="43">
        <v>0</v>
      </c>
      <c r="JN101" s="43">
        <v>0</v>
      </c>
      <c r="JO101" s="43">
        <v>0</v>
      </c>
      <c r="JP101" s="43">
        <v>0</v>
      </c>
      <c r="JQ101" s="43">
        <v>0</v>
      </c>
      <c r="JR101" s="43">
        <v>0</v>
      </c>
      <c r="JS101" s="43">
        <v>0</v>
      </c>
      <c r="JT101" s="43">
        <v>0</v>
      </c>
      <c r="JU101" s="43"/>
      <c r="JV101" s="43"/>
      <c r="JW101" s="43"/>
      <c r="JX101" s="43">
        <v>0</v>
      </c>
      <c r="JY101" s="43">
        <v>0</v>
      </c>
      <c r="JZ101" s="43">
        <v>0</v>
      </c>
      <c r="KA101" s="43">
        <v>0</v>
      </c>
      <c r="KB101" s="43">
        <v>0</v>
      </c>
      <c r="KC101" s="43">
        <v>0</v>
      </c>
      <c r="KD101" s="43">
        <v>0</v>
      </c>
      <c r="KE101" s="43">
        <v>0</v>
      </c>
      <c r="KF101" s="43">
        <v>0</v>
      </c>
      <c r="KG101" s="43">
        <v>0</v>
      </c>
      <c r="KH101" s="43">
        <v>0</v>
      </c>
      <c r="KI101" s="43">
        <v>0</v>
      </c>
      <c r="KJ101" s="43">
        <v>0</v>
      </c>
      <c r="KK101" s="43">
        <v>0</v>
      </c>
      <c r="KL101" s="43">
        <v>0</v>
      </c>
      <c r="KM101" s="43">
        <v>0</v>
      </c>
      <c r="KN101" s="43">
        <v>0</v>
      </c>
      <c r="KO101" s="43">
        <v>0</v>
      </c>
      <c r="KP101" s="43">
        <v>0</v>
      </c>
      <c r="KQ101" s="43">
        <v>0</v>
      </c>
      <c r="KR101" s="43">
        <v>0</v>
      </c>
      <c r="KS101" s="43">
        <v>0</v>
      </c>
      <c r="KT101" s="43">
        <v>0</v>
      </c>
      <c r="KU101" s="43">
        <v>0</v>
      </c>
      <c r="KV101" s="43">
        <v>0</v>
      </c>
      <c r="KW101" s="43">
        <v>0</v>
      </c>
      <c r="KX101" s="43">
        <v>0</v>
      </c>
      <c r="KY101" s="43">
        <v>0</v>
      </c>
      <c r="KZ101" s="43">
        <v>0</v>
      </c>
      <c r="LA101" s="43">
        <v>0</v>
      </c>
      <c r="LB101" s="43">
        <v>0</v>
      </c>
      <c r="LC101" s="43">
        <v>0</v>
      </c>
      <c r="LD101" s="43">
        <v>0</v>
      </c>
      <c r="LE101" s="43">
        <v>0</v>
      </c>
      <c r="LF101" s="43">
        <v>0</v>
      </c>
      <c r="LG101" s="43">
        <v>0</v>
      </c>
      <c r="LH101" s="43">
        <v>0</v>
      </c>
      <c r="LI101" s="43">
        <v>0</v>
      </c>
      <c r="LJ101" s="43">
        <v>0</v>
      </c>
      <c r="LK101" s="43">
        <v>0</v>
      </c>
      <c r="LL101" s="43">
        <v>0</v>
      </c>
      <c r="LM101" s="43">
        <v>0</v>
      </c>
      <c r="LN101" s="43">
        <v>0</v>
      </c>
      <c r="LO101" s="43">
        <v>0</v>
      </c>
      <c r="LP101" s="43">
        <v>0</v>
      </c>
      <c r="LQ101" s="43">
        <v>0</v>
      </c>
      <c r="LR101" s="43">
        <v>0</v>
      </c>
      <c r="LS101" s="43">
        <v>0</v>
      </c>
      <c r="LT101" s="43">
        <v>0</v>
      </c>
      <c r="LU101" s="43"/>
      <c r="LV101" s="43"/>
      <c r="LW101" s="43"/>
      <c r="LX101" s="43"/>
    </row>
    <row r="102" spans="1:336" s="29" customFormat="1" x14ac:dyDescent="0.3">
      <c r="A102" s="33" t="s">
        <v>102</v>
      </c>
      <c r="B102" s="46"/>
      <c r="C102" s="43" t="s">
        <v>86</v>
      </c>
      <c r="D102" s="44" t="s">
        <v>86</v>
      </c>
      <c r="E102" s="44" t="s">
        <v>86</v>
      </c>
      <c r="F102" s="44" t="s">
        <v>86</v>
      </c>
      <c r="G102" s="44" t="s">
        <v>86</v>
      </c>
      <c r="H102" s="44" t="s">
        <v>86</v>
      </c>
      <c r="I102" s="44" t="s">
        <v>86</v>
      </c>
      <c r="J102" s="44" t="s">
        <v>86</v>
      </c>
      <c r="K102" s="44" t="s">
        <v>86</v>
      </c>
      <c r="L102" s="44" t="s">
        <v>86</v>
      </c>
      <c r="M102" s="44" t="s">
        <v>86</v>
      </c>
      <c r="N102" s="44" t="s">
        <v>86</v>
      </c>
      <c r="O102" s="44" t="s">
        <v>86</v>
      </c>
      <c r="P102" s="44" t="s">
        <v>86</v>
      </c>
      <c r="Q102" s="44" t="s">
        <v>86</v>
      </c>
      <c r="R102" s="44" t="s">
        <v>86</v>
      </c>
      <c r="S102" s="44" t="s">
        <v>86</v>
      </c>
      <c r="T102" s="44" t="s">
        <v>86</v>
      </c>
      <c r="U102" s="44" t="s">
        <v>86</v>
      </c>
      <c r="V102" s="44" t="s">
        <v>86</v>
      </c>
      <c r="W102" s="44" t="s">
        <v>86</v>
      </c>
      <c r="X102" s="44" t="s">
        <v>86</v>
      </c>
      <c r="Y102" s="44" t="s">
        <v>86</v>
      </c>
      <c r="Z102" s="44" t="s">
        <v>86</v>
      </c>
      <c r="AA102" s="44" t="s">
        <v>86</v>
      </c>
      <c r="AB102" s="44" t="s">
        <v>86</v>
      </c>
      <c r="AC102" s="44" t="s">
        <v>86</v>
      </c>
      <c r="AD102" s="44" t="s">
        <v>86</v>
      </c>
      <c r="AE102" s="44" t="s">
        <v>86</v>
      </c>
      <c r="AF102" s="44" t="s">
        <v>86</v>
      </c>
      <c r="AG102" s="44" t="s">
        <v>86</v>
      </c>
      <c r="AH102" s="44" t="s">
        <v>86</v>
      </c>
      <c r="AI102" s="44" t="s">
        <v>86</v>
      </c>
      <c r="AJ102" s="44" t="s">
        <v>86</v>
      </c>
      <c r="AK102" s="44" t="s">
        <v>86</v>
      </c>
      <c r="AL102" s="44" t="s">
        <v>86</v>
      </c>
      <c r="AM102" s="44" t="s">
        <v>86</v>
      </c>
      <c r="AN102" s="44" t="s">
        <v>86</v>
      </c>
      <c r="AO102" s="44" t="s">
        <v>86</v>
      </c>
      <c r="AP102" s="44" t="s">
        <v>86</v>
      </c>
      <c r="AQ102" s="44" t="s">
        <v>86</v>
      </c>
      <c r="AR102" s="44" t="s">
        <v>86</v>
      </c>
      <c r="AS102" s="44" t="s">
        <v>86</v>
      </c>
      <c r="AT102" s="44" t="s">
        <v>86</v>
      </c>
      <c r="AU102" s="44" t="s">
        <v>86</v>
      </c>
      <c r="AV102" s="44" t="s">
        <v>86</v>
      </c>
      <c r="AW102" s="44" t="s">
        <v>86</v>
      </c>
      <c r="AX102" s="44" t="s">
        <v>86</v>
      </c>
      <c r="AY102" s="44" t="s">
        <v>86</v>
      </c>
      <c r="AZ102" s="44" t="s">
        <v>86</v>
      </c>
      <c r="BA102" s="44" t="s">
        <v>86</v>
      </c>
      <c r="BB102" s="44" t="s">
        <v>86</v>
      </c>
      <c r="BC102" s="44" t="s">
        <v>86</v>
      </c>
      <c r="BD102" s="44" t="s">
        <v>86</v>
      </c>
      <c r="BE102" s="44" t="s">
        <v>86</v>
      </c>
      <c r="BF102" s="44" t="s">
        <v>86</v>
      </c>
      <c r="BG102" s="44" t="s">
        <v>86</v>
      </c>
      <c r="BH102" s="44" t="s">
        <v>86</v>
      </c>
      <c r="BI102" s="44" t="s">
        <v>86</v>
      </c>
      <c r="BJ102" s="44" t="s">
        <v>86</v>
      </c>
      <c r="BK102" s="44" t="s">
        <v>86</v>
      </c>
      <c r="BL102" s="44" t="s">
        <v>86</v>
      </c>
      <c r="BM102" s="44" t="s">
        <v>86</v>
      </c>
      <c r="BN102" s="44" t="s">
        <v>86</v>
      </c>
      <c r="BO102" s="44" t="s">
        <v>86</v>
      </c>
      <c r="BP102" s="44" t="s">
        <v>86</v>
      </c>
      <c r="BQ102" s="44" t="s">
        <v>86</v>
      </c>
      <c r="BR102" s="44" t="s">
        <v>86</v>
      </c>
      <c r="BS102" s="44" t="s">
        <v>86</v>
      </c>
      <c r="BT102" s="44" t="s">
        <v>86</v>
      </c>
      <c r="BU102" s="44" t="s">
        <v>86</v>
      </c>
      <c r="BV102" s="44" t="s">
        <v>86</v>
      </c>
      <c r="BW102" s="44" t="s">
        <v>86</v>
      </c>
      <c r="BX102" s="44" t="s">
        <v>86</v>
      </c>
      <c r="BY102" s="44" t="s">
        <v>86</v>
      </c>
      <c r="BZ102" s="44" t="s">
        <v>86</v>
      </c>
      <c r="CA102" s="44" t="s">
        <v>86</v>
      </c>
      <c r="CB102" s="44" t="s">
        <v>86</v>
      </c>
      <c r="CC102" s="44" t="s">
        <v>86</v>
      </c>
      <c r="CD102" s="44" t="s">
        <v>86</v>
      </c>
      <c r="CE102" s="44" t="s">
        <v>86</v>
      </c>
      <c r="CF102" s="44" t="s">
        <v>86</v>
      </c>
      <c r="CG102" s="44" t="s">
        <v>86</v>
      </c>
      <c r="CH102" s="44" t="s">
        <v>86</v>
      </c>
      <c r="CI102" s="44" t="s">
        <v>86</v>
      </c>
      <c r="CJ102" s="44" t="s">
        <v>86</v>
      </c>
      <c r="CK102" s="44" t="s">
        <v>86</v>
      </c>
      <c r="CL102" s="44" t="s">
        <v>86</v>
      </c>
      <c r="CM102" s="44" t="s">
        <v>86</v>
      </c>
      <c r="CN102" s="44" t="s">
        <v>86</v>
      </c>
      <c r="CO102" s="44" t="s">
        <v>86</v>
      </c>
      <c r="CP102" s="44" t="s">
        <v>86</v>
      </c>
      <c r="CQ102" s="44" t="s">
        <v>86</v>
      </c>
      <c r="CR102" s="44" t="s">
        <v>86</v>
      </c>
      <c r="CS102" s="44" t="s">
        <v>86</v>
      </c>
      <c r="CT102" s="44" t="s">
        <v>86</v>
      </c>
      <c r="CU102" s="44" t="s">
        <v>86</v>
      </c>
      <c r="CV102" s="44" t="s">
        <v>86</v>
      </c>
      <c r="CW102" s="44" t="s">
        <v>86</v>
      </c>
      <c r="CX102" s="44" t="s">
        <v>86</v>
      </c>
      <c r="CY102" s="44" t="s">
        <v>86</v>
      </c>
      <c r="CZ102" s="44" t="s">
        <v>86</v>
      </c>
      <c r="DA102" s="44" t="s">
        <v>86</v>
      </c>
      <c r="DB102" s="44" t="s">
        <v>86</v>
      </c>
      <c r="DC102" s="44" t="s">
        <v>86</v>
      </c>
      <c r="DD102" s="44" t="s">
        <v>86</v>
      </c>
      <c r="DE102" s="44" t="s">
        <v>86</v>
      </c>
      <c r="DF102" s="44" t="s">
        <v>86</v>
      </c>
      <c r="DG102" s="44" t="s">
        <v>86</v>
      </c>
      <c r="DH102" s="44" t="s">
        <v>86</v>
      </c>
      <c r="DI102" s="44" t="s">
        <v>86</v>
      </c>
      <c r="DJ102" s="44" t="s">
        <v>86</v>
      </c>
      <c r="DK102" s="44" t="s">
        <v>86</v>
      </c>
      <c r="DL102" s="44" t="s">
        <v>86</v>
      </c>
      <c r="DM102" s="44" t="s">
        <v>86</v>
      </c>
      <c r="DN102" s="44" t="s">
        <v>86</v>
      </c>
      <c r="DO102" s="44" t="s">
        <v>86</v>
      </c>
      <c r="DP102" s="44" t="s">
        <v>86</v>
      </c>
      <c r="DQ102" s="44" t="s">
        <v>86</v>
      </c>
      <c r="DR102" s="44" t="s">
        <v>86</v>
      </c>
      <c r="DS102" s="44" t="s">
        <v>86</v>
      </c>
      <c r="DT102" s="44" t="s">
        <v>86</v>
      </c>
      <c r="DU102" s="44" t="s">
        <v>86</v>
      </c>
      <c r="DV102" s="44" t="s">
        <v>86</v>
      </c>
      <c r="DW102" s="44" t="s">
        <v>86</v>
      </c>
      <c r="DX102" s="44" t="s">
        <v>86</v>
      </c>
      <c r="DY102" s="44" t="s">
        <v>86</v>
      </c>
      <c r="DZ102" s="44" t="s">
        <v>86</v>
      </c>
      <c r="EA102" s="44" t="s">
        <v>86</v>
      </c>
      <c r="EB102" s="44" t="s">
        <v>86</v>
      </c>
      <c r="EC102" s="44" t="s">
        <v>86</v>
      </c>
      <c r="ED102" s="44" t="s">
        <v>86</v>
      </c>
      <c r="EE102" s="44" t="s">
        <v>86</v>
      </c>
      <c r="EF102" s="44" t="s">
        <v>86</v>
      </c>
      <c r="EG102" s="44" t="s">
        <v>86</v>
      </c>
      <c r="EH102" s="44" t="s">
        <v>86</v>
      </c>
      <c r="EI102" s="44" t="s">
        <v>86</v>
      </c>
      <c r="EJ102" s="44" t="s">
        <v>86</v>
      </c>
      <c r="EK102" s="44" t="s">
        <v>86</v>
      </c>
      <c r="EL102" s="44" t="s">
        <v>86</v>
      </c>
      <c r="EM102" s="44" t="s">
        <v>86</v>
      </c>
      <c r="EN102" s="44" t="s">
        <v>86</v>
      </c>
      <c r="EO102" s="44" t="s">
        <v>86</v>
      </c>
      <c r="EP102" s="44" t="s">
        <v>86</v>
      </c>
      <c r="EQ102" s="44" t="s">
        <v>86</v>
      </c>
      <c r="ER102" s="44" t="s">
        <v>86</v>
      </c>
      <c r="ES102" s="44" t="s">
        <v>86</v>
      </c>
      <c r="ET102" s="44" t="s">
        <v>86</v>
      </c>
      <c r="EU102" s="44" t="s">
        <v>86</v>
      </c>
      <c r="EV102" s="44" t="s">
        <v>86</v>
      </c>
      <c r="EW102" s="44" t="s">
        <v>86</v>
      </c>
      <c r="EX102" s="44" t="s">
        <v>86</v>
      </c>
      <c r="EY102" s="44" t="s">
        <v>86</v>
      </c>
      <c r="EZ102" s="44" t="s">
        <v>86</v>
      </c>
      <c r="FA102" s="44" t="s">
        <v>86</v>
      </c>
      <c r="FB102" s="44" t="s">
        <v>86</v>
      </c>
      <c r="FC102" s="44" t="s">
        <v>86</v>
      </c>
      <c r="FD102" s="44" t="s">
        <v>86</v>
      </c>
      <c r="FE102" s="44" t="s">
        <v>86</v>
      </c>
      <c r="FF102" s="44" t="s">
        <v>86</v>
      </c>
      <c r="FG102" s="44" t="s">
        <v>86</v>
      </c>
      <c r="FH102" s="44" t="s">
        <v>86</v>
      </c>
      <c r="FI102" s="44" t="s">
        <v>86</v>
      </c>
      <c r="FJ102" s="44" t="s">
        <v>86</v>
      </c>
      <c r="FK102" s="44" t="s">
        <v>86</v>
      </c>
      <c r="FL102" s="44" t="s">
        <v>86</v>
      </c>
      <c r="FM102" s="44" t="s">
        <v>86</v>
      </c>
      <c r="FN102" s="44" t="s">
        <v>86</v>
      </c>
      <c r="FO102" s="44" t="s">
        <v>86</v>
      </c>
      <c r="FP102" s="44" t="s">
        <v>86</v>
      </c>
      <c r="FQ102" s="44" t="s">
        <v>86</v>
      </c>
      <c r="FR102" s="44" t="s">
        <v>86</v>
      </c>
      <c r="FS102" s="44" t="s">
        <v>86</v>
      </c>
      <c r="FT102" s="44" t="s">
        <v>86</v>
      </c>
      <c r="FU102" s="44" t="s">
        <v>86</v>
      </c>
      <c r="FV102" s="44" t="s">
        <v>86</v>
      </c>
      <c r="FW102" s="44" t="s">
        <v>86</v>
      </c>
      <c r="FX102" s="44" t="s">
        <v>86</v>
      </c>
      <c r="FY102" s="44" t="s">
        <v>86</v>
      </c>
      <c r="FZ102" s="44" t="s">
        <v>86</v>
      </c>
      <c r="GA102" s="44" t="s">
        <v>86</v>
      </c>
      <c r="GB102" s="44" t="s">
        <v>86</v>
      </c>
      <c r="GC102" s="44" t="s">
        <v>86</v>
      </c>
      <c r="GD102" s="44" t="s">
        <v>86</v>
      </c>
      <c r="GE102" s="44" t="s">
        <v>86</v>
      </c>
      <c r="GF102" s="44" t="s">
        <v>86</v>
      </c>
      <c r="GG102" s="44" t="s">
        <v>86</v>
      </c>
      <c r="GH102" s="44" t="s">
        <v>86</v>
      </c>
      <c r="GI102" s="44" t="s">
        <v>86</v>
      </c>
      <c r="GJ102" s="44" t="s">
        <v>86</v>
      </c>
      <c r="GK102" s="44" t="s">
        <v>86</v>
      </c>
      <c r="GL102" s="44" t="s">
        <v>86</v>
      </c>
      <c r="GM102" s="44" t="s">
        <v>86</v>
      </c>
      <c r="GN102" s="44" t="s">
        <v>86</v>
      </c>
      <c r="GO102" s="44" t="s">
        <v>86</v>
      </c>
      <c r="GP102" s="44" t="s">
        <v>86</v>
      </c>
      <c r="GQ102" s="44" t="s">
        <v>86</v>
      </c>
      <c r="GR102" s="44" t="s">
        <v>86</v>
      </c>
      <c r="GS102" s="44" t="s">
        <v>86</v>
      </c>
      <c r="GT102" s="44" t="s">
        <v>86</v>
      </c>
      <c r="GU102" s="44" t="s">
        <v>86</v>
      </c>
      <c r="GV102" s="44" t="s">
        <v>86</v>
      </c>
      <c r="GW102" s="44" t="s">
        <v>86</v>
      </c>
      <c r="GX102" s="44" t="s">
        <v>86</v>
      </c>
      <c r="GY102" s="44" t="s">
        <v>86</v>
      </c>
      <c r="GZ102" s="44" t="s">
        <v>86</v>
      </c>
      <c r="HA102" s="44" t="s">
        <v>86</v>
      </c>
      <c r="HB102" s="44" t="s">
        <v>86</v>
      </c>
      <c r="HC102" s="44" t="s">
        <v>86</v>
      </c>
      <c r="HD102" s="44" t="s">
        <v>86</v>
      </c>
      <c r="HE102" s="44" t="s">
        <v>86</v>
      </c>
      <c r="HF102" s="44" t="s">
        <v>86</v>
      </c>
      <c r="HG102" s="44" t="s">
        <v>86</v>
      </c>
      <c r="HH102" s="44" t="s">
        <v>86</v>
      </c>
      <c r="HI102" s="44" t="s">
        <v>86</v>
      </c>
      <c r="HJ102" s="44" t="s">
        <v>86</v>
      </c>
      <c r="HK102" s="44" t="s">
        <v>86</v>
      </c>
      <c r="HL102" s="44" t="s">
        <v>86</v>
      </c>
      <c r="HM102" s="44" t="s">
        <v>86</v>
      </c>
      <c r="HN102" s="44" t="s">
        <v>86</v>
      </c>
      <c r="HO102" s="44" t="s">
        <v>86</v>
      </c>
      <c r="HP102" s="44" t="s">
        <v>86</v>
      </c>
      <c r="HQ102" s="44" t="s">
        <v>86</v>
      </c>
      <c r="HR102" s="44" t="s">
        <v>86</v>
      </c>
      <c r="HS102" s="44" t="s">
        <v>86</v>
      </c>
      <c r="HT102" s="44" t="s">
        <v>86</v>
      </c>
      <c r="HU102" s="44" t="s">
        <v>86</v>
      </c>
      <c r="HV102" s="44" t="s">
        <v>86</v>
      </c>
      <c r="HW102" s="44" t="s">
        <v>86</v>
      </c>
      <c r="HX102" s="44" t="s">
        <v>86</v>
      </c>
      <c r="HY102" s="44" t="s">
        <v>86</v>
      </c>
      <c r="HZ102" s="44" t="s">
        <v>86</v>
      </c>
      <c r="IA102" s="44" t="s">
        <v>86</v>
      </c>
      <c r="IB102" s="44" t="s">
        <v>86</v>
      </c>
      <c r="IC102" s="44">
        <v>2728.72</v>
      </c>
      <c r="ID102" s="44" t="s">
        <v>86</v>
      </c>
      <c r="IE102" s="44" t="s">
        <v>86</v>
      </c>
      <c r="IF102" s="44" t="s">
        <v>86</v>
      </c>
      <c r="IG102" s="44" t="s">
        <v>86</v>
      </c>
      <c r="IH102" s="44" t="s">
        <v>86</v>
      </c>
      <c r="II102" s="44" t="s">
        <v>86</v>
      </c>
      <c r="IJ102" s="44" t="s">
        <v>86</v>
      </c>
      <c r="IK102" s="44" t="s">
        <v>86</v>
      </c>
      <c r="IL102" s="44" t="s">
        <v>86</v>
      </c>
      <c r="IM102" s="44" t="s">
        <v>86</v>
      </c>
      <c r="IN102" s="44">
        <v>221.27</v>
      </c>
      <c r="IO102" s="44">
        <v>3834.9380000000001</v>
      </c>
      <c r="IP102" s="44">
        <v>3035.2689999999998</v>
      </c>
      <c r="IQ102" s="44" t="s">
        <v>93</v>
      </c>
      <c r="IR102" s="44" t="s">
        <v>93</v>
      </c>
      <c r="IS102" s="44" t="s">
        <v>93</v>
      </c>
      <c r="IT102" s="44">
        <v>2719.27</v>
      </c>
      <c r="IU102" s="44">
        <v>2983.89</v>
      </c>
      <c r="IV102" s="44">
        <v>2419.42</v>
      </c>
      <c r="IW102" s="44"/>
      <c r="IX102" s="44"/>
      <c r="IY102" s="44">
        <v>2336.6493399999999</v>
      </c>
      <c r="IZ102" s="44">
        <v>1679.8</v>
      </c>
      <c r="JA102" s="44"/>
      <c r="JB102" s="44">
        <v>1561.06</v>
      </c>
      <c r="JC102" s="44">
        <v>887.11</v>
      </c>
      <c r="JD102" s="44">
        <v>502.3</v>
      </c>
      <c r="JE102" s="44">
        <v>852.26</v>
      </c>
      <c r="JF102" s="44">
        <v>2465.5500000000002</v>
      </c>
      <c r="JG102" s="44">
        <v>2267.17</v>
      </c>
      <c r="JH102" s="44">
        <v>2618.98</v>
      </c>
      <c r="JI102" s="44">
        <v>2725.83</v>
      </c>
      <c r="JJ102" s="44">
        <v>2779.04</v>
      </c>
      <c r="JK102" s="44">
        <v>2995.11</v>
      </c>
      <c r="JL102" s="44">
        <v>3378.64</v>
      </c>
      <c r="JM102" s="44">
        <v>3845.45</v>
      </c>
      <c r="JN102" s="44">
        <v>4376.7809999999999</v>
      </c>
      <c r="JO102" s="44">
        <v>3888.63</v>
      </c>
      <c r="JP102" s="44">
        <v>0</v>
      </c>
      <c r="JQ102" s="44">
        <v>3207.83</v>
      </c>
      <c r="JR102" s="44">
        <v>966.37</v>
      </c>
      <c r="JS102" s="44">
        <v>653.32000000000005</v>
      </c>
      <c r="JT102" s="44">
        <v>722.21</v>
      </c>
      <c r="JU102" s="44">
        <v>279.61500000000001</v>
      </c>
      <c r="JV102" s="44">
        <v>508.11</v>
      </c>
      <c r="JW102" s="44">
        <v>304.31900000000002</v>
      </c>
      <c r="JX102" s="44">
        <v>320.18400000000003</v>
      </c>
      <c r="JY102" s="44">
        <v>235.76859999999999</v>
      </c>
      <c r="JZ102" s="44">
        <v>353.8</v>
      </c>
      <c r="KA102" s="44">
        <v>297.31</v>
      </c>
      <c r="KB102" s="44">
        <v>2507.46</v>
      </c>
      <c r="KC102" s="44">
        <v>2699.6439999999998</v>
      </c>
      <c r="KD102" s="44">
        <v>2895.855</v>
      </c>
      <c r="KE102" s="44">
        <v>2691.4380000000001</v>
      </c>
      <c r="KF102" s="44">
        <v>3117.8380000000002</v>
      </c>
      <c r="KG102" s="44">
        <v>2823.2649999999999</v>
      </c>
      <c r="KH102" s="44">
        <v>3620.761</v>
      </c>
      <c r="KI102" s="44">
        <v>2424.3980000000001</v>
      </c>
      <c r="KJ102" s="44">
        <v>2745.7109999999998</v>
      </c>
      <c r="KK102" s="44">
        <v>2880.1010000000001</v>
      </c>
      <c r="KL102" s="44">
        <v>1378.0940000000001</v>
      </c>
      <c r="KM102" s="44">
        <v>2400.797</v>
      </c>
      <c r="KN102" s="146">
        <v>298.03100000000001</v>
      </c>
      <c r="KO102" s="146">
        <v>1113.7249999999999</v>
      </c>
      <c r="KP102" s="146">
        <v>1092.729</v>
      </c>
      <c r="KQ102" s="146">
        <v>1210.694</v>
      </c>
      <c r="KR102" s="146">
        <v>1591.829</v>
      </c>
      <c r="KS102" s="146">
        <v>1590.69</v>
      </c>
      <c r="KT102" s="146">
        <v>1691.373</v>
      </c>
      <c r="KU102" s="146">
        <v>1333.548</v>
      </c>
      <c r="KV102" s="146">
        <v>1641.164</v>
      </c>
      <c r="KW102" s="146">
        <v>1679.0830000000001</v>
      </c>
      <c r="KX102" s="146">
        <v>1798.9269999999999</v>
      </c>
      <c r="KY102" s="146">
        <v>1633.0150000000001</v>
      </c>
      <c r="KZ102" s="146">
        <v>1539.5830000000001</v>
      </c>
      <c r="LA102" s="146">
        <v>2347.83</v>
      </c>
      <c r="LB102" s="146">
        <v>1388.508</v>
      </c>
      <c r="LC102" s="146">
        <v>1640.482</v>
      </c>
      <c r="LD102" s="146">
        <v>1485.5609999999999</v>
      </c>
      <c r="LE102" s="146">
        <v>1566.954</v>
      </c>
      <c r="LF102" s="146">
        <v>1121.348</v>
      </c>
      <c r="LG102" s="146">
        <v>1124.826</v>
      </c>
      <c r="LH102" s="146">
        <v>1417.2619999999999</v>
      </c>
      <c r="LI102" s="146">
        <v>1389.4179999999999</v>
      </c>
      <c r="LJ102" s="146">
        <v>1541.5509999999999</v>
      </c>
      <c r="LK102" s="146">
        <v>1169.3789999999999</v>
      </c>
      <c r="LL102" s="146">
        <v>1101.808</v>
      </c>
      <c r="LM102" s="146">
        <v>1076.212</v>
      </c>
      <c r="LN102" s="146">
        <v>1293.623</v>
      </c>
      <c r="LO102" s="146">
        <v>1033.3620000000001</v>
      </c>
      <c r="LP102" s="146">
        <v>1478.1010000000001</v>
      </c>
      <c r="LQ102" s="146">
        <v>1148.3119999999999</v>
      </c>
      <c r="LR102" s="146">
        <v>1137.0150000000001</v>
      </c>
      <c r="LS102" s="146">
        <v>1321.4010000000001</v>
      </c>
      <c r="LT102" s="146">
        <v>1136.943</v>
      </c>
      <c r="LU102" s="43"/>
      <c r="LV102" s="43"/>
      <c r="LW102" s="43"/>
      <c r="LX102" s="43"/>
    </row>
    <row r="103" spans="1:336" s="29" customFormat="1" x14ac:dyDescent="0.3">
      <c r="A103" s="33" t="s">
        <v>35</v>
      </c>
      <c r="B103" s="42"/>
      <c r="C103" s="43" t="s">
        <v>86</v>
      </c>
      <c r="D103" s="44" t="s">
        <v>86</v>
      </c>
      <c r="E103" s="44" t="s">
        <v>86</v>
      </c>
      <c r="F103" s="44" t="s">
        <v>86</v>
      </c>
      <c r="G103" s="44" t="s">
        <v>86</v>
      </c>
      <c r="H103" s="44" t="s">
        <v>86</v>
      </c>
      <c r="I103" s="44" t="s">
        <v>86</v>
      </c>
      <c r="J103" s="44" t="s">
        <v>86</v>
      </c>
      <c r="K103" s="44" t="s">
        <v>86</v>
      </c>
      <c r="L103" s="44" t="s">
        <v>86</v>
      </c>
      <c r="M103" s="44" t="s">
        <v>86</v>
      </c>
      <c r="N103" s="44" t="s">
        <v>86</v>
      </c>
      <c r="O103" s="44" t="s">
        <v>86</v>
      </c>
      <c r="P103" s="44" t="s">
        <v>86</v>
      </c>
      <c r="Q103" s="44" t="s">
        <v>86</v>
      </c>
      <c r="R103" s="44" t="s">
        <v>86</v>
      </c>
      <c r="S103" s="44" t="s">
        <v>86</v>
      </c>
      <c r="T103" s="44" t="s">
        <v>86</v>
      </c>
      <c r="U103" s="44" t="s">
        <v>86</v>
      </c>
      <c r="V103" s="44" t="s">
        <v>86</v>
      </c>
      <c r="W103" s="44" t="s">
        <v>86</v>
      </c>
      <c r="X103" s="44" t="s">
        <v>86</v>
      </c>
      <c r="Y103" s="44" t="s">
        <v>86</v>
      </c>
      <c r="Z103" s="44" t="s">
        <v>86</v>
      </c>
      <c r="AA103" s="44" t="s">
        <v>86</v>
      </c>
      <c r="AB103" s="44" t="s">
        <v>86</v>
      </c>
      <c r="AC103" s="44" t="s">
        <v>86</v>
      </c>
      <c r="AD103" s="44" t="s">
        <v>86</v>
      </c>
      <c r="AE103" s="44" t="s">
        <v>86</v>
      </c>
      <c r="AF103" s="44" t="s">
        <v>86</v>
      </c>
      <c r="AG103" s="44">
        <v>110.9</v>
      </c>
      <c r="AH103" s="44">
        <v>208.7</v>
      </c>
      <c r="AI103" s="44" t="s">
        <v>86</v>
      </c>
      <c r="AJ103" s="44">
        <v>60.8</v>
      </c>
      <c r="AK103" s="44">
        <v>287.83999999999997</v>
      </c>
      <c r="AL103" s="44">
        <v>283.60000000000002</v>
      </c>
      <c r="AM103" s="44">
        <v>226.84</v>
      </c>
      <c r="AN103" s="44">
        <v>428.46</v>
      </c>
      <c r="AO103" s="44">
        <v>92.94</v>
      </c>
      <c r="AP103" s="44">
        <v>305.04000000000002</v>
      </c>
      <c r="AQ103" s="44">
        <v>180.33</v>
      </c>
      <c r="AR103" s="44">
        <v>180.33</v>
      </c>
      <c r="AS103" s="44">
        <v>20476.25</v>
      </c>
      <c r="AT103" s="44">
        <v>2670</v>
      </c>
      <c r="AU103" s="44">
        <v>17082</v>
      </c>
      <c r="AV103" s="44">
        <v>20259</v>
      </c>
      <c r="AW103" s="44">
        <v>320.06</v>
      </c>
      <c r="AX103" s="44">
        <v>11197</v>
      </c>
      <c r="AY103" s="44">
        <v>24258</v>
      </c>
      <c r="AZ103" s="44">
        <v>13539</v>
      </c>
      <c r="BA103" s="44">
        <v>23353</v>
      </c>
      <c r="BB103" s="44">
        <v>5000</v>
      </c>
      <c r="BC103" s="44">
        <v>29950</v>
      </c>
      <c r="BD103" s="44">
        <v>2500</v>
      </c>
      <c r="BE103" s="44">
        <v>9907</v>
      </c>
      <c r="BF103" s="44">
        <v>18007</v>
      </c>
      <c r="BG103" s="44">
        <v>460000</v>
      </c>
      <c r="BH103" s="44">
        <v>210090</v>
      </c>
      <c r="BI103" s="44">
        <v>118200</v>
      </c>
      <c r="BJ103" s="44">
        <v>413290</v>
      </c>
      <c r="BK103" s="44">
        <v>400.84</v>
      </c>
      <c r="BL103" s="44">
        <v>421.14</v>
      </c>
      <c r="BM103" s="44" t="s">
        <v>86</v>
      </c>
      <c r="BN103" s="44" t="s">
        <v>86</v>
      </c>
      <c r="BO103" s="44"/>
      <c r="BP103" s="44">
        <v>143.01</v>
      </c>
      <c r="BQ103" s="44" t="s">
        <v>86</v>
      </c>
      <c r="BR103" s="44" t="s">
        <v>86</v>
      </c>
      <c r="BS103" s="44" t="s">
        <v>86</v>
      </c>
      <c r="BT103" s="44" t="s">
        <v>86</v>
      </c>
      <c r="BU103" s="44" t="s">
        <v>86</v>
      </c>
      <c r="BV103" s="44" t="s">
        <v>86</v>
      </c>
      <c r="BW103" s="44" t="s">
        <v>86</v>
      </c>
      <c r="BX103" s="44" t="s">
        <v>86</v>
      </c>
      <c r="BY103" s="44" t="s">
        <v>86</v>
      </c>
      <c r="BZ103" s="44">
        <v>227.2</v>
      </c>
      <c r="CA103" s="44">
        <v>242.19499999999999</v>
      </c>
      <c r="CB103" s="44">
        <v>105.179</v>
      </c>
      <c r="CC103" s="44"/>
      <c r="CD103" s="44"/>
      <c r="CE103" s="44"/>
      <c r="CF103" s="44"/>
      <c r="CG103" s="44"/>
      <c r="CH103" s="44"/>
      <c r="CI103" s="44"/>
      <c r="CJ103" s="44"/>
      <c r="CK103" s="44"/>
      <c r="CL103" s="44" t="s">
        <v>86</v>
      </c>
      <c r="CM103" s="44" t="s">
        <v>86</v>
      </c>
      <c r="CN103" s="44" t="s">
        <v>86</v>
      </c>
      <c r="CO103" s="44" t="s">
        <v>86</v>
      </c>
      <c r="CP103" s="44" t="s">
        <v>86</v>
      </c>
      <c r="CQ103" s="44" t="s">
        <v>86</v>
      </c>
      <c r="CR103" s="44" t="s">
        <v>86</v>
      </c>
      <c r="CS103" s="44" t="s">
        <v>86</v>
      </c>
      <c r="CT103" s="44" t="s">
        <v>86</v>
      </c>
      <c r="CU103" s="44" t="s">
        <v>86</v>
      </c>
      <c r="CV103" s="44" t="s">
        <v>86</v>
      </c>
      <c r="CW103" s="44" t="s">
        <v>86</v>
      </c>
      <c r="CX103" s="44" t="s">
        <v>86</v>
      </c>
      <c r="CY103" s="44" t="s">
        <v>86</v>
      </c>
      <c r="CZ103" s="44" t="s">
        <v>86</v>
      </c>
      <c r="DA103" s="44" t="s">
        <v>86</v>
      </c>
      <c r="DB103" s="44" t="s">
        <v>86</v>
      </c>
      <c r="DC103" s="44" t="s">
        <v>86</v>
      </c>
      <c r="DD103" s="44" t="s">
        <v>86</v>
      </c>
      <c r="DE103" s="44" t="s">
        <v>86</v>
      </c>
      <c r="DF103" s="44" t="s">
        <v>86</v>
      </c>
      <c r="DG103" s="44">
        <v>253</v>
      </c>
      <c r="DH103" s="44">
        <v>447.47399999999999</v>
      </c>
      <c r="DI103" s="44">
        <v>271.13</v>
      </c>
      <c r="DJ103" s="44" t="s">
        <v>87</v>
      </c>
      <c r="DK103" s="44" t="s">
        <v>87</v>
      </c>
      <c r="DL103" s="44" t="s">
        <v>87</v>
      </c>
      <c r="DM103" s="44" t="s">
        <v>87</v>
      </c>
      <c r="DN103" s="44" t="s">
        <v>87</v>
      </c>
      <c r="DO103" s="44" t="s">
        <v>87</v>
      </c>
      <c r="DP103" s="44" t="s">
        <v>87</v>
      </c>
      <c r="DQ103" s="44" t="s">
        <v>87</v>
      </c>
      <c r="DR103" s="44" t="s">
        <v>87</v>
      </c>
      <c r="DS103" s="44" t="s">
        <v>87</v>
      </c>
      <c r="DT103" s="44" t="s">
        <v>87</v>
      </c>
      <c r="DU103" s="44" t="s">
        <v>87</v>
      </c>
      <c r="DV103" s="44" t="s">
        <v>87</v>
      </c>
      <c r="DW103" s="44" t="s">
        <v>87</v>
      </c>
      <c r="DX103" s="44" t="s">
        <v>87</v>
      </c>
      <c r="DY103" s="44">
        <v>790.25</v>
      </c>
      <c r="DZ103" s="44" t="s">
        <v>87</v>
      </c>
      <c r="EA103" s="44" t="s">
        <v>87</v>
      </c>
      <c r="EB103" s="44" t="s">
        <v>87</v>
      </c>
      <c r="EC103" s="44" t="s">
        <v>87</v>
      </c>
      <c r="ED103" s="44" t="s">
        <v>87</v>
      </c>
      <c r="EE103" s="44" t="s">
        <v>87</v>
      </c>
      <c r="EF103" s="44" t="s">
        <v>87</v>
      </c>
      <c r="EG103" s="44" t="s">
        <v>87</v>
      </c>
      <c r="EH103" s="44" t="s">
        <v>87</v>
      </c>
      <c r="EI103" s="44" t="s">
        <v>87</v>
      </c>
      <c r="EJ103" s="44" t="s">
        <v>87</v>
      </c>
      <c r="EK103" s="44" t="s">
        <v>87</v>
      </c>
      <c r="EL103" s="44" t="s">
        <v>87</v>
      </c>
      <c r="EM103" s="44" t="s">
        <v>87</v>
      </c>
      <c r="EN103" s="44" t="s">
        <v>87</v>
      </c>
      <c r="EO103" s="44" t="s">
        <v>87</v>
      </c>
      <c r="EP103" s="44" t="s">
        <v>87</v>
      </c>
      <c r="EQ103" s="44" t="s">
        <v>87</v>
      </c>
      <c r="ER103" s="44" t="s">
        <v>87</v>
      </c>
      <c r="ES103" s="44" t="s">
        <v>87</v>
      </c>
      <c r="ET103" s="44" t="s">
        <v>87</v>
      </c>
      <c r="EU103" s="44" t="s">
        <v>87</v>
      </c>
      <c r="EV103" s="44" t="s">
        <v>87</v>
      </c>
      <c r="EW103" s="44" t="s">
        <v>87</v>
      </c>
      <c r="EX103" s="44" t="s">
        <v>87</v>
      </c>
      <c r="EY103" s="44" t="s">
        <v>87</v>
      </c>
      <c r="EZ103" s="44" t="s">
        <v>87</v>
      </c>
      <c r="FA103" s="44" t="s">
        <v>87</v>
      </c>
      <c r="FB103" s="44" t="s">
        <v>87</v>
      </c>
      <c r="FC103" s="44" t="s">
        <v>87</v>
      </c>
      <c r="FD103" s="44" t="s">
        <v>87</v>
      </c>
      <c r="FE103" s="44" t="s">
        <v>87</v>
      </c>
      <c r="FF103" s="44" t="s">
        <v>87</v>
      </c>
      <c r="FG103" s="44" t="s">
        <v>87</v>
      </c>
      <c r="FH103" s="44" t="s">
        <v>87</v>
      </c>
      <c r="FI103" s="44" t="s">
        <v>87</v>
      </c>
      <c r="FJ103" s="44" t="s">
        <v>87</v>
      </c>
      <c r="FK103" s="44" t="s">
        <v>87</v>
      </c>
      <c r="FL103" s="44" t="s">
        <v>87</v>
      </c>
      <c r="FM103" s="44" t="s">
        <v>87</v>
      </c>
      <c r="FN103" s="44" t="s">
        <v>87</v>
      </c>
      <c r="FO103" s="44" t="s">
        <v>87</v>
      </c>
      <c r="FP103" s="44" t="s">
        <v>87</v>
      </c>
      <c r="FQ103" s="44" t="s">
        <v>87</v>
      </c>
      <c r="FR103" s="44" t="s">
        <v>87</v>
      </c>
      <c r="FS103" s="44" t="s">
        <v>87</v>
      </c>
      <c r="FT103" s="44" t="s">
        <v>87</v>
      </c>
      <c r="FU103" s="44" t="s">
        <v>87</v>
      </c>
      <c r="FV103" s="44" t="s">
        <v>87</v>
      </c>
      <c r="FW103" s="44" t="s">
        <v>87</v>
      </c>
      <c r="FX103" s="44" t="s">
        <v>87</v>
      </c>
      <c r="FY103" s="44" t="s">
        <v>87</v>
      </c>
      <c r="FZ103" s="44" t="s">
        <v>87</v>
      </c>
      <c r="GA103" s="44" t="s">
        <v>87</v>
      </c>
      <c r="GB103" s="44" t="s">
        <v>87</v>
      </c>
      <c r="GC103" s="44" t="s">
        <v>87</v>
      </c>
      <c r="GD103" s="44" t="s">
        <v>87</v>
      </c>
      <c r="GE103" s="44" t="s">
        <v>86</v>
      </c>
      <c r="GF103" s="44" t="s">
        <v>86</v>
      </c>
      <c r="GG103" s="44" t="s">
        <v>86</v>
      </c>
      <c r="GH103" s="44" t="s">
        <v>86</v>
      </c>
      <c r="GI103" s="44" t="s">
        <v>86</v>
      </c>
      <c r="GJ103" s="44" t="s">
        <v>86</v>
      </c>
      <c r="GK103" s="44">
        <v>2248.38</v>
      </c>
      <c r="GL103" s="44" t="s">
        <v>86</v>
      </c>
      <c r="GM103" s="44" t="s">
        <v>86</v>
      </c>
      <c r="GN103" s="44" t="s">
        <v>86</v>
      </c>
      <c r="GO103" s="44" t="s">
        <v>86</v>
      </c>
      <c r="GP103" s="44" t="s">
        <v>86</v>
      </c>
      <c r="GQ103" s="44" t="s">
        <v>86</v>
      </c>
      <c r="GR103" s="44" t="s">
        <v>86</v>
      </c>
      <c r="GS103" s="44">
        <v>2937.96</v>
      </c>
      <c r="GT103" s="44">
        <v>1725.72</v>
      </c>
      <c r="GU103" s="44" t="s">
        <v>86</v>
      </c>
      <c r="GV103" s="44" t="s">
        <v>86</v>
      </c>
      <c r="GW103" s="44" t="s">
        <v>86</v>
      </c>
      <c r="GX103" s="44" t="s">
        <v>86</v>
      </c>
      <c r="GY103" s="44" t="s">
        <v>86</v>
      </c>
      <c r="GZ103" s="44">
        <v>1972.08</v>
      </c>
      <c r="HA103" s="44" t="s">
        <v>86</v>
      </c>
      <c r="HB103" s="44" t="s">
        <v>86</v>
      </c>
      <c r="HC103" s="44" t="s">
        <v>86</v>
      </c>
      <c r="HD103" s="44" t="s">
        <v>86</v>
      </c>
      <c r="HE103" s="44" t="s">
        <v>86</v>
      </c>
      <c r="HF103" s="44" t="s">
        <v>86</v>
      </c>
      <c r="HG103" s="44" t="s">
        <v>86</v>
      </c>
      <c r="HH103" s="44" t="s">
        <v>86</v>
      </c>
      <c r="HI103" s="44" t="s">
        <v>86</v>
      </c>
      <c r="HJ103" s="44" t="s">
        <v>86</v>
      </c>
      <c r="HK103" s="44" t="s">
        <v>86</v>
      </c>
      <c r="HL103" s="44" t="s">
        <v>86</v>
      </c>
      <c r="HM103" s="44" t="s">
        <v>86</v>
      </c>
      <c r="HN103" s="44" t="s">
        <v>86</v>
      </c>
      <c r="HO103" s="44" t="s">
        <v>86</v>
      </c>
      <c r="HP103" s="44" t="s">
        <v>86</v>
      </c>
      <c r="HQ103" s="44" t="s">
        <v>86</v>
      </c>
      <c r="HR103" s="44" t="s">
        <v>86</v>
      </c>
      <c r="HS103" s="44" t="s">
        <v>86</v>
      </c>
      <c r="HT103" s="44" t="s">
        <v>86</v>
      </c>
      <c r="HU103" s="44" t="s">
        <v>86</v>
      </c>
      <c r="HV103" s="44" t="s">
        <v>86</v>
      </c>
      <c r="HW103" s="44" t="s">
        <v>86</v>
      </c>
      <c r="HX103" s="44" t="s">
        <v>86</v>
      </c>
      <c r="HY103" s="44" t="s">
        <v>86</v>
      </c>
      <c r="HZ103" s="44" t="s">
        <v>86</v>
      </c>
      <c r="IA103" s="44" t="s">
        <v>86</v>
      </c>
      <c r="IB103" s="44" t="s">
        <v>86</v>
      </c>
      <c r="IC103" s="44" t="s">
        <v>86</v>
      </c>
      <c r="ID103" s="44" t="s">
        <v>86</v>
      </c>
      <c r="IE103" s="44" t="s">
        <v>86</v>
      </c>
      <c r="IF103" s="44" t="s">
        <v>86</v>
      </c>
      <c r="IG103" s="44" t="s">
        <v>86</v>
      </c>
      <c r="IH103" s="44" t="s">
        <v>86</v>
      </c>
      <c r="II103" s="44" t="s">
        <v>86</v>
      </c>
      <c r="IJ103" s="44" t="s">
        <v>86</v>
      </c>
      <c r="IK103" s="44" t="s">
        <v>86</v>
      </c>
      <c r="IL103" s="44" t="s">
        <v>86</v>
      </c>
      <c r="IM103" s="44" t="s">
        <v>86</v>
      </c>
      <c r="IN103" s="44" t="s">
        <v>86</v>
      </c>
      <c r="IO103" s="44">
        <v>3575.5340000000001</v>
      </c>
      <c r="IP103" s="44">
        <v>3243.39</v>
      </c>
      <c r="IQ103" s="44">
        <v>3838.7269999999999</v>
      </c>
      <c r="IR103" s="44">
        <v>3391.42</v>
      </c>
      <c r="IS103" s="44">
        <v>3353.5520000000001</v>
      </c>
      <c r="IT103" s="44" t="s">
        <v>93</v>
      </c>
      <c r="IU103" s="44" t="s">
        <v>93</v>
      </c>
      <c r="IV103" s="44" t="s">
        <v>93</v>
      </c>
      <c r="IW103" s="44"/>
      <c r="IX103" s="44"/>
      <c r="IY103" s="44">
        <v>3227.5337699999995</v>
      </c>
      <c r="IZ103" s="44">
        <v>3131.6</v>
      </c>
      <c r="JA103" s="44"/>
      <c r="JB103" s="44">
        <v>3911.05</v>
      </c>
      <c r="JC103" s="44">
        <v>3437.13</v>
      </c>
      <c r="JD103" s="44">
        <v>2907.63</v>
      </c>
      <c r="JE103" s="44">
        <v>3617.03</v>
      </c>
      <c r="JF103" s="44">
        <v>3146.91</v>
      </c>
      <c r="JG103" s="44">
        <v>3517.42</v>
      </c>
      <c r="JH103" s="44">
        <v>3458.74</v>
      </c>
      <c r="JI103" s="44">
        <v>3942.69</v>
      </c>
      <c r="JJ103" s="44">
        <v>3253.07</v>
      </c>
      <c r="JK103" s="44">
        <v>3384.95</v>
      </c>
      <c r="JL103" s="44">
        <v>3149.3</v>
      </c>
      <c r="JM103" s="44">
        <v>4912.74</v>
      </c>
      <c r="JN103" s="44">
        <v>4336.8100000000004</v>
      </c>
      <c r="JO103" s="44">
        <v>4872.8</v>
      </c>
      <c r="JP103" s="44">
        <v>0</v>
      </c>
      <c r="JQ103" s="44">
        <v>2524.42</v>
      </c>
      <c r="JR103" s="44">
        <v>2629.48</v>
      </c>
      <c r="JS103" s="44">
        <v>2246.04</v>
      </c>
      <c r="JT103" s="44">
        <v>1768.65</v>
      </c>
      <c r="JU103" s="44">
        <v>2010.4459999999999</v>
      </c>
      <c r="JV103" s="44">
        <v>2026.73</v>
      </c>
      <c r="JW103" s="44">
        <v>1775.6130000000001</v>
      </c>
      <c r="JX103" s="44">
        <v>1658.1220000000001</v>
      </c>
      <c r="JY103" s="44">
        <v>2335.7310000000002</v>
      </c>
      <c r="JZ103" s="44">
        <v>1799.348</v>
      </c>
      <c r="KA103" s="44">
        <v>2010.0805</v>
      </c>
      <c r="KB103" s="44">
        <v>3390.22</v>
      </c>
      <c r="KC103" s="44">
        <v>4128.4780000000001</v>
      </c>
      <c r="KD103" s="44">
        <v>5220.7790000000005</v>
      </c>
      <c r="KE103" s="44">
        <v>3612.8739999999998</v>
      </c>
      <c r="KF103" s="44">
        <v>2769.5320000000002</v>
      </c>
      <c r="KG103" s="44">
        <v>2926.4749999999999</v>
      </c>
      <c r="KH103" s="44">
        <v>3029.9879999999998</v>
      </c>
      <c r="KI103" s="44">
        <v>2005.2670000000001</v>
      </c>
      <c r="KJ103" s="44">
        <v>2530.4850000000001</v>
      </c>
      <c r="KK103" s="44">
        <v>2469.5039999999999</v>
      </c>
      <c r="KL103" s="44">
        <v>3388.41</v>
      </c>
      <c r="KM103" s="44">
        <v>3479.0630000000001</v>
      </c>
      <c r="KN103" s="44">
        <v>4975.4759999999997</v>
      </c>
      <c r="KO103" s="44">
        <v>3702.154</v>
      </c>
      <c r="KP103" s="44">
        <v>4577.7510000000002</v>
      </c>
      <c r="KQ103" s="44">
        <v>2652.2649999999999</v>
      </c>
      <c r="KR103" s="44">
        <v>3542.5349999999999</v>
      </c>
      <c r="KS103" s="44">
        <v>3557.7579999999998</v>
      </c>
      <c r="KT103" s="44">
        <v>3777.5859999999998</v>
      </c>
      <c r="KU103" s="44">
        <v>3118.6819999999998</v>
      </c>
      <c r="KV103" s="44">
        <v>3101.4589999999998</v>
      </c>
      <c r="KW103" s="44">
        <v>3138.73</v>
      </c>
      <c r="KX103" s="44">
        <v>3142.625</v>
      </c>
      <c r="KY103" s="44">
        <v>4326.7030000000004</v>
      </c>
      <c r="KZ103" s="44">
        <v>2633.9160000000002</v>
      </c>
      <c r="LA103" s="44">
        <v>3493.982</v>
      </c>
      <c r="LB103" s="44">
        <v>3535.904</v>
      </c>
      <c r="LC103" s="44">
        <v>3115.4679999999998</v>
      </c>
      <c r="LD103" s="44">
        <v>3470.0160000000001</v>
      </c>
      <c r="LE103" s="44">
        <v>3647.5630000000001</v>
      </c>
      <c r="LF103" s="44">
        <v>3489.5360000000001</v>
      </c>
      <c r="LG103" s="44">
        <v>3627.5650000000001</v>
      </c>
      <c r="LH103" s="44">
        <v>3580.6239999999998</v>
      </c>
      <c r="LI103" s="44">
        <v>3534.7269999999999</v>
      </c>
      <c r="LJ103" s="44">
        <v>3516.2190000000001</v>
      </c>
      <c r="LK103" s="44">
        <v>4235.2049999999999</v>
      </c>
      <c r="LL103" s="44">
        <v>4178.4769999999999</v>
      </c>
      <c r="LM103" s="44">
        <v>3799.1390000000001</v>
      </c>
      <c r="LN103" s="44">
        <v>4254.4750000000004</v>
      </c>
      <c r="LO103" s="44">
        <v>3160.078</v>
      </c>
      <c r="LP103" s="44">
        <v>4098.6139999999996</v>
      </c>
      <c r="LQ103" s="44">
        <v>2865.13463</v>
      </c>
      <c r="LR103" s="44">
        <v>4088.2530000000002</v>
      </c>
      <c r="LS103" s="44">
        <v>4949.0793599999997</v>
      </c>
      <c r="LT103" s="44">
        <v>2980.37491</v>
      </c>
      <c r="LU103" s="43"/>
      <c r="LV103" s="43"/>
      <c r="LW103" s="43"/>
      <c r="LX103" s="43"/>
    </row>
    <row r="104" spans="1:336" s="29" customFormat="1" x14ac:dyDescent="0.3">
      <c r="A104" s="33" t="s">
        <v>33</v>
      </c>
      <c r="B104" s="42"/>
      <c r="C104" s="43" t="s">
        <v>86</v>
      </c>
      <c r="D104" s="44" t="s">
        <v>86</v>
      </c>
      <c r="E104" s="44" t="s">
        <v>86</v>
      </c>
      <c r="F104" s="44" t="s">
        <v>86</v>
      </c>
      <c r="G104" s="44" t="s">
        <v>86</v>
      </c>
      <c r="H104" s="44" t="s">
        <v>86</v>
      </c>
      <c r="I104" s="44" t="s">
        <v>86</v>
      </c>
      <c r="J104" s="44" t="s">
        <v>86</v>
      </c>
      <c r="K104" s="44" t="s">
        <v>86</v>
      </c>
      <c r="L104" s="44" t="s">
        <v>86</v>
      </c>
      <c r="M104" s="44" t="s">
        <v>86</v>
      </c>
      <c r="N104" s="44" t="s">
        <v>86</v>
      </c>
      <c r="O104" s="44" t="s">
        <v>86</v>
      </c>
      <c r="P104" s="44" t="s">
        <v>86</v>
      </c>
      <c r="Q104" s="44" t="s">
        <v>86</v>
      </c>
      <c r="R104" s="44" t="s">
        <v>86</v>
      </c>
      <c r="S104" s="44" t="s">
        <v>86</v>
      </c>
      <c r="T104" s="44" t="s">
        <v>86</v>
      </c>
      <c r="U104" s="44" t="s">
        <v>86</v>
      </c>
      <c r="V104" s="44" t="s">
        <v>86</v>
      </c>
      <c r="W104" s="44" t="s">
        <v>86</v>
      </c>
      <c r="X104" s="44" t="s">
        <v>86</v>
      </c>
      <c r="Y104" s="44" t="s">
        <v>86</v>
      </c>
      <c r="Z104" s="44" t="s">
        <v>86</v>
      </c>
      <c r="AA104" s="44" t="s">
        <v>86</v>
      </c>
      <c r="AB104" s="44" t="s">
        <v>86</v>
      </c>
      <c r="AC104" s="44" t="s">
        <v>86</v>
      </c>
      <c r="AD104" s="44" t="s">
        <v>86</v>
      </c>
      <c r="AE104" s="44" t="s">
        <v>86</v>
      </c>
      <c r="AF104" s="44" t="s">
        <v>86</v>
      </c>
      <c r="AG104" s="44" t="s">
        <v>86</v>
      </c>
      <c r="AH104" s="44" t="s">
        <v>86</v>
      </c>
      <c r="AI104" s="44" t="s">
        <v>86</v>
      </c>
      <c r="AJ104" s="44" t="s">
        <v>86</v>
      </c>
      <c r="AK104" s="44" t="s">
        <v>86</v>
      </c>
      <c r="AL104" s="44" t="s">
        <v>86</v>
      </c>
      <c r="AM104" s="44" t="s">
        <v>86</v>
      </c>
      <c r="AN104" s="44" t="s">
        <v>86</v>
      </c>
      <c r="AO104" s="44" t="s">
        <v>86</v>
      </c>
      <c r="AP104" s="44" t="s">
        <v>86</v>
      </c>
      <c r="AQ104" s="44" t="s">
        <v>86</v>
      </c>
      <c r="AR104" s="44" t="s">
        <v>86</v>
      </c>
      <c r="AS104" s="44">
        <v>6.53</v>
      </c>
      <c r="AT104" s="44">
        <v>18000</v>
      </c>
      <c r="AU104" s="44">
        <v>7286</v>
      </c>
      <c r="AV104" s="44">
        <v>13430</v>
      </c>
      <c r="AW104" s="44">
        <v>15750</v>
      </c>
      <c r="AX104" s="44">
        <v>75020</v>
      </c>
      <c r="AY104" s="44">
        <v>25550</v>
      </c>
      <c r="AZ104" s="44">
        <v>18200</v>
      </c>
      <c r="BA104" s="44">
        <v>60</v>
      </c>
      <c r="BB104" s="44">
        <v>16500</v>
      </c>
      <c r="BC104" s="44">
        <v>42307</v>
      </c>
      <c r="BD104" s="44" t="s">
        <v>86</v>
      </c>
      <c r="BE104" s="44">
        <v>18800</v>
      </c>
      <c r="BF104" s="44">
        <v>8003</v>
      </c>
      <c r="BG104" s="44" t="s">
        <v>86</v>
      </c>
      <c r="BH104" s="44" t="s">
        <v>86</v>
      </c>
      <c r="BI104" s="44" t="s">
        <v>86</v>
      </c>
      <c r="BJ104" s="44" t="s">
        <v>86</v>
      </c>
      <c r="BK104" s="44" t="s">
        <v>86</v>
      </c>
      <c r="BL104" s="44">
        <v>87.41</v>
      </c>
      <c r="BM104" s="44" t="s">
        <v>86</v>
      </c>
      <c r="BN104" s="44" t="s">
        <v>86</v>
      </c>
      <c r="BO104" s="44">
        <v>197.58</v>
      </c>
      <c r="BP104" s="44"/>
      <c r="BQ104" s="44">
        <v>178.42</v>
      </c>
      <c r="BR104" s="44" t="s">
        <v>86</v>
      </c>
      <c r="BS104" s="44" t="s">
        <v>86</v>
      </c>
      <c r="BT104" s="44" t="s">
        <v>86</v>
      </c>
      <c r="BU104" s="44" t="s">
        <v>86</v>
      </c>
      <c r="BV104" s="44" t="s">
        <v>86</v>
      </c>
      <c r="BW104" s="44" t="s">
        <v>86</v>
      </c>
      <c r="BX104" s="44" t="s">
        <v>86</v>
      </c>
      <c r="BY104" s="44" t="s">
        <v>86</v>
      </c>
      <c r="BZ104" s="44" t="s">
        <v>86</v>
      </c>
      <c r="CA104" s="44" t="s">
        <v>86</v>
      </c>
      <c r="CB104" s="44" t="s">
        <v>86</v>
      </c>
      <c r="CC104" s="44" t="s">
        <v>86</v>
      </c>
      <c r="CD104" s="44" t="s">
        <v>86</v>
      </c>
      <c r="CE104" s="44" t="s">
        <v>86</v>
      </c>
      <c r="CF104" s="44" t="s">
        <v>86</v>
      </c>
      <c r="CG104" s="44" t="s">
        <v>86</v>
      </c>
      <c r="CH104" s="44" t="s">
        <v>86</v>
      </c>
      <c r="CI104" s="44" t="s">
        <v>86</v>
      </c>
      <c r="CJ104" s="44" t="s">
        <v>86</v>
      </c>
      <c r="CK104" s="44" t="s">
        <v>86</v>
      </c>
      <c r="CL104" s="44" t="s">
        <v>86</v>
      </c>
      <c r="CM104" s="44" t="s">
        <v>86</v>
      </c>
      <c r="CN104" s="44" t="s">
        <v>86</v>
      </c>
      <c r="CO104" s="44" t="s">
        <v>86</v>
      </c>
      <c r="CP104" s="44" t="s">
        <v>86</v>
      </c>
      <c r="CQ104" s="44" t="s">
        <v>86</v>
      </c>
      <c r="CR104" s="44" t="s">
        <v>86</v>
      </c>
      <c r="CS104" s="44" t="s">
        <v>86</v>
      </c>
      <c r="CT104" s="44" t="s">
        <v>86</v>
      </c>
      <c r="CU104" s="44" t="s">
        <v>86</v>
      </c>
      <c r="CV104" s="44" t="s">
        <v>86</v>
      </c>
      <c r="CW104" s="44" t="s">
        <v>86</v>
      </c>
      <c r="CX104" s="44">
        <v>52.46</v>
      </c>
      <c r="CY104" s="44" t="s">
        <v>86</v>
      </c>
      <c r="CZ104" s="44" t="s">
        <v>86</v>
      </c>
      <c r="DA104" s="44" t="s">
        <v>86</v>
      </c>
      <c r="DB104" s="44" t="s">
        <v>86</v>
      </c>
      <c r="DC104" s="44" t="s">
        <v>86</v>
      </c>
      <c r="DD104" s="44" t="s">
        <v>86</v>
      </c>
      <c r="DE104" s="44" t="s">
        <v>86</v>
      </c>
      <c r="DF104" s="44" t="s">
        <v>86</v>
      </c>
      <c r="DG104" s="44" t="s">
        <v>86</v>
      </c>
      <c r="DH104" s="44">
        <v>49.453000000000003</v>
      </c>
      <c r="DI104" s="44">
        <v>91.33</v>
      </c>
      <c r="DJ104" s="44" t="s">
        <v>87</v>
      </c>
      <c r="DK104" s="44" t="s">
        <v>87</v>
      </c>
      <c r="DL104" s="44" t="s">
        <v>87</v>
      </c>
      <c r="DM104" s="44" t="s">
        <v>87</v>
      </c>
      <c r="DN104" s="44" t="s">
        <v>87</v>
      </c>
      <c r="DO104" s="44" t="s">
        <v>87</v>
      </c>
      <c r="DP104" s="44" t="s">
        <v>87</v>
      </c>
      <c r="DQ104" s="44" t="s">
        <v>87</v>
      </c>
      <c r="DR104" s="44" t="s">
        <v>87</v>
      </c>
      <c r="DS104" s="44" t="s">
        <v>87</v>
      </c>
      <c r="DT104" s="44" t="s">
        <v>87</v>
      </c>
      <c r="DU104" s="44" t="s">
        <v>87</v>
      </c>
      <c r="DV104" s="44"/>
      <c r="DW104" s="44"/>
      <c r="DX104" s="44">
        <v>0.03</v>
      </c>
      <c r="DY104" s="44">
        <v>105.47</v>
      </c>
      <c r="DZ104" s="44">
        <v>43.99</v>
      </c>
      <c r="EA104" s="44"/>
      <c r="EB104" s="44">
        <v>33.01</v>
      </c>
      <c r="EC104" s="44">
        <v>125.63</v>
      </c>
      <c r="ED104" s="44" t="s">
        <v>87</v>
      </c>
      <c r="EE104" s="44" t="s">
        <v>87</v>
      </c>
      <c r="EF104" s="44" t="s">
        <v>87</v>
      </c>
      <c r="EG104" s="44" t="s">
        <v>87</v>
      </c>
      <c r="EH104" s="44" t="s">
        <v>87</v>
      </c>
      <c r="EI104" s="44" t="s">
        <v>87</v>
      </c>
      <c r="EJ104" s="44" t="s">
        <v>87</v>
      </c>
      <c r="EK104" s="44" t="s">
        <v>87</v>
      </c>
      <c r="EL104" s="44" t="s">
        <v>87</v>
      </c>
      <c r="EM104" s="44" t="s">
        <v>87</v>
      </c>
      <c r="EN104" s="44" t="s">
        <v>87</v>
      </c>
      <c r="EO104" s="44" t="s">
        <v>87</v>
      </c>
      <c r="EP104" s="44" t="s">
        <v>87</v>
      </c>
      <c r="EQ104" s="44" t="s">
        <v>87</v>
      </c>
      <c r="ER104" s="44" t="s">
        <v>87</v>
      </c>
      <c r="ES104" s="44" t="s">
        <v>87</v>
      </c>
      <c r="ET104" s="44" t="s">
        <v>87</v>
      </c>
      <c r="EU104" s="44" t="s">
        <v>87</v>
      </c>
      <c r="EV104" s="44" t="s">
        <v>87</v>
      </c>
      <c r="EW104" s="44" t="s">
        <v>87</v>
      </c>
      <c r="EX104" s="44" t="s">
        <v>87</v>
      </c>
      <c r="EY104" s="44" t="s">
        <v>87</v>
      </c>
      <c r="EZ104" s="44" t="s">
        <v>87</v>
      </c>
      <c r="FA104" s="44" t="s">
        <v>87</v>
      </c>
      <c r="FB104" s="44" t="s">
        <v>87</v>
      </c>
      <c r="FC104" s="44" t="s">
        <v>87</v>
      </c>
      <c r="FD104" s="44" t="s">
        <v>87</v>
      </c>
      <c r="FE104" s="44" t="s">
        <v>87</v>
      </c>
      <c r="FF104" s="44" t="s">
        <v>87</v>
      </c>
      <c r="FG104" s="44" t="s">
        <v>87</v>
      </c>
      <c r="FH104" s="44" t="s">
        <v>87</v>
      </c>
      <c r="FI104" s="44" t="s">
        <v>87</v>
      </c>
      <c r="FJ104" s="44" t="s">
        <v>87</v>
      </c>
      <c r="FK104" s="44" t="s">
        <v>87</v>
      </c>
      <c r="FL104" s="44" t="s">
        <v>87</v>
      </c>
      <c r="FM104" s="44" t="s">
        <v>87</v>
      </c>
      <c r="FN104" s="44" t="s">
        <v>87</v>
      </c>
      <c r="FO104" s="44" t="s">
        <v>87</v>
      </c>
      <c r="FP104" s="44" t="s">
        <v>87</v>
      </c>
      <c r="FQ104" s="44" t="s">
        <v>87</v>
      </c>
      <c r="FR104" s="44" t="s">
        <v>87</v>
      </c>
      <c r="FS104" s="44" t="s">
        <v>87</v>
      </c>
      <c r="FT104" s="44" t="s">
        <v>87</v>
      </c>
      <c r="FU104" s="44" t="s">
        <v>87</v>
      </c>
      <c r="FV104" s="44" t="s">
        <v>87</v>
      </c>
      <c r="FW104" s="44" t="s">
        <v>87</v>
      </c>
      <c r="FX104" s="44" t="s">
        <v>87</v>
      </c>
      <c r="FY104" s="44" t="s">
        <v>87</v>
      </c>
      <c r="FZ104" s="44" t="s">
        <v>87</v>
      </c>
      <c r="GA104" s="44" t="s">
        <v>87</v>
      </c>
      <c r="GB104" s="44" t="s">
        <v>87</v>
      </c>
      <c r="GC104" s="44" t="s">
        <v>87</v>
      </c>
      <c r="GD104" s="44">
        <v>5419.56</v>
      </c>
      <c r="GE104" s="44" t="s">
        <v>86</v>
      </c>
      <c r="GF104" s="44" t="s">
        <v>86</v>
      </c>
      <c r="GG104" s="44">
        <v>645.66</v>
      </c>
      <c r="GH104" s="44" t="s">
        <v>86</v>
      </c>
      <c r="GI104" s="44" t="s">
        <v>86</v>
      </c>
      <c r="GJ104" s="44" t="s">
        <v>86</v>
      </c>
      <c r="GK104" s="44" t="s">
        <v>86</v>
      </c>
      <c r="GL104" s="44" t="s">
        <v>86</v>
      </c>
      <c r="GM104" s="44" t="s">
        <v>86</v>
      </c>
      <c r="GN104" s="44" t="s">
        <v>86</v>
      </c>
      <c r="GO104" s="44" t="s">
        <v>86</v>
      </c>
      <c r="GP104" s="44" t="s">
        <v>86</v>
      </c>
      <c r="GQ104" s="44" t="s">
        <v>86</v>
      </c>
      <c r="GR104" s="44" t="s">
        <v>86</v>
      </c>
      <c r="GS104" s="44" t="s">
        <v>86</v>
      </c>
      <c r="GT104" s="44" t="s">
        <v>86</v>
      </c>
      <c r="GU104" s="44" t="s">
        <v>86</v>
      </c>
      <c r="GV104" s="44" t="s">
        <v>86</v>
      </c>
      <c r="GW104" s="44" t="s">
        <v>86</v>
      </c>
      <c r="GX104" s="44" t="s">
        <v>86</v>
      </c>
      <c r="GY104" s="44" t="s">
        <v>86</v>
      </c>
      <c r="GZ104" s="44" t="s">
        <v>86</v>
      </c>
      <c r="HA104" s="44" t="s">
        <v>86</v>
      </c>
      <c r="HB104" s="44" t="s">
        <v>86</v>
      </c>
      <c r="HC104" s="44" t="s">
        <v>86</v>
      </c>
      <c r="HD104" s="44" t="s">
        <v>86</v>
      </c>
      <c r="HE104" s="44" t="s">
        <v>86</v>
      </c>
      <c r="HF104" s="44" t="s">
        <v>86</v>
      </c>
      <c r="HG104" s="44" t="s">
        <v>86</v>
      </c>
      <c r="HH104" s="44" t="s">
        <v>86</v>
      </c>
      <c r="HI104" s="44" t="s">
        <v>86</v>
      </c>
      <c r="HJ104" s="44" t="s">
        <v>86</v>
      </c>
      <c r="HK104" s="44" t="s">
        <v>86</v>
      </c>
      <c r="HL104" s="44" t="s">
        <v>86</v>
      </c>
      <c r="HM104" s="44" t="s">
        <v>86</v>
      </c>
      <c r="HN104" s="44" t="s">
        <v>86</v>
      </c>
      <c r="HO104" s="44" t="s">
        <v>86</v>
      </c>
      <c r="HP104" s="44" t="s">
        <v>86</v>
      </c>
      <c r="HQ104" s="44" t="s">
        <v>86</v>
      </c>
      <c r="HR104" s="44" t="s">
        <v>86</v>
      </c>
      <c r="HS104" s="44" t="s">
        <v>86</v>
      </c>
      <c r="HT104" s="44" t="s">
        <v>86</v>
      </c>
      <c r="HU104" s="44" t="s">
        <v>86</v>
      </c>
      <c r="HV104" s="44" t="s">
        <v>86</v>
      </c>
      <c r="HW104" s="44" t="s">
        <v>86</v>
      </c>
      <c r="HX104" s="44" t="s">
        <v>86</v>
      </c>
      <c r="HY104" s="44" t="s">
        <v>86</v>
      </c>
      <c r="HZ104" s="44" t="s">
        <v>86</v>
      </c>
      <c r="IA104" s="44" t="s">
        <v>86</v>
      </c>
      <c r="IB104" s="44" t="s">
        <v>86</v>
      </c>
      <c r="IC104" s="44" t="s">
        <v>86</v>
      </c>
      <c r="ID104" s="44" t="s">
        <v>86</v>
      </c>
      <c r="IE104" s="44" t="s">
        <v>86</v>
      </c>
      <c r="IF104" s="44" t="s">
        <v>86</v>
      </c>
      <c r="IG104" s="44" t="s">
        <v>86</v>
      </c>
      <c r="IH104" s="44" t="s">
        <v>86</v>
      </c>
      <c r="II104" s="44" t="s">
        <v>86</v>
      </c>
      <c r="IJ104" s="44" t="s">
        <v>86</v>
      </c>
      <c r="IK104" s="44" t="s">
        <v>86</v>
      </c>
      <c r="IL104" s="44" t="s">
        <v>86</v>
      </c>
      <c r="IM104" s="44" t="s">
        <v>86</v>
      </c>
      <c r="IN104" s="44" t="s">
        <v>86</v>
      </c>
      <c r="IO104" s="44">
        <v>1014.033</v>
      </c>
      <c r="IP104" s="44">
        <v>1122.096</v>
      </c>
      <c r="IQ104" s="44">
        <v>1176.6389999999999</v>
      </c>
      <c r="IR104" s="44">
        <v>1235.1500000000001</v>
      </c>
      <c r="IS104" s="44" t="s">
        <v>93</v>
      </c>
      <c r="IT104" s="44">
        <v>1318.99</v>
      </c>
      <c r="IU104" s="44">
        <v>1263.01</v>
      </c>
      <c r="IV104" s="44">
        <v>1343.67</v>
      </c>
      <c r="IW104" s="44"/>
      <c r="IX104" s="44">
        <v>1330.87</v>
      </c>
      <c r="IY104" s="44">
        <v>1268.9174200000002</v>
      </c>
      <c r="IZ104" s="44">
        <v>1277.76</v>
      </c>
      <c r="JA104" s="44"/>
      <c r="JB104" s="44">
        <v>1333.39</v>
      </c>
      <c r="JC104" s="44">
        <v>1487.96</v>
      </c>
      <c r="JD104" s="44">
        <v>1673.12</v>
      </c>
      <c r="JE104" s="44">
        <v>1413.75</v>
      </c>
      <c r="JF104" s="44">
        <v>1117.05</v>
      </c>
      <c r="JG104" s="44">
        <v>1737.86</v>
      </c>
      <c r="JH104" s="44">
        <v>1382.4</v>
      </c>
      <c r="JI104" s="44">
        <v>1518.01</v>
      </c>
      <c r="JJ104" s="44">
        <v>1521.16</v>
      </c>
      <c r="JK104" s="44">
        <v>1350.21</v>
      </c>
      <c r="JL104" s="44">
        <v>1297.42</v>
      </c>
      <c r="JM104" s="44">
        <v>1977.21</v>
      </c>
      <c r="JN104" s="44">
        <v>2005.66</v>
      </c>
      <c r="JO104" s="44">
        <v>1664.31</v>
      </c>
      <c r="JP104" s="44">
        <v>0</v>
      </c>
      <c r="JQ104" s="44">
        <v>3207.83</v>
      </c>
      <c r="JR104" s="44">
        <v>1880.51</v>
      </c>
      <c r="JS104" s="44">
        <v>1549.42</v>
      </c>
      <c r="JT104" s="44">
        <v>1082.28</v>
      </c>
      <c r="JU104" s="44">
        <v>1196.7829999999999</v>
      </c>
      <c r="JV104" s="44">
        <v>1565.76</v>
      </c>
      <c r="JW104" s="44">
        <v>4322.1390000000001</v>
      </c>
      <c r="JX104" s="44">
        <v>1382.8530000000001</v>
      </c>
      <c r="JY104" s="44">
        <v>2018.3710000000001</v>
      </c>
      <c r="JZ104" s="44">
        <v>2158.194</v>
      </c>
      <c r="KA104" s="44">
        <v>2907.2857999999997</v>
      </c>
      <c r="KB104" s="44">
        <v>1571.3119999999999</v>
      </c>
      <c r="KC104" s="44">
        <v>1851.644</v>
      </c>
      <c r="KD104" s="44">
        <v>1723.0250000000001</v>
      </c>
      <c r="KE104" s="44">
        <v>2919.7660000000001</v>
      </c>
      <c r="KF104" s="44">
        <v>2754.5810000000001</v>
      </c>
      <c r="KG104" s="44">
        <v>2115.3440000000001</v>
      </c>
      <c r="KH104" s="44">
        <v>2056.7159999999999</v>
      </c>
      <c r="KI104" s="44">
        <v>1045.53</v>
      </c>
      <c r="KJ104" s="44">
        <v>1796.644</v>
      </c>
      <c r="KK104" s="44">
        <v>2476.0859999999998</v>
      </c>
      <c r="KL104" s="44">
        <v>1033.5830000000001</v>
      </c>
      <c r="KM104" s="44">
        <v>1200.415</v>
      </c>
      <c r="KN104" s="44">
        <v>1376.9179999999999</v>
      </c>
      <c r="KO104" s="44">
        <v>1483.6559999999999</v>
      </c>
      <c r="KP104" s="44">
        <v>1272.1949999999999</v>
      </c>
      <c r="KQ104" s="44">
        <v>1267.8420000000001</v>
      </c>
      <c r="KR104" s="44">
        <v>1434.3409999999999</v>
      </c>
      <c r="KS104" s="44">
        <v>1493.1610000000001</v>
      </c>
      <c r="KT104" s="44">
        <v>1871.4939999999999</v>
      </c>
      <c r="KU104" s="44">
        <v>2037.778</v>
      </c>
      <c r="KV104" s="44">
        <v>1148.444</v>
      </c>
      <c r="KW104" s="44">
        <v>1966.991</v>
      </c>
      <c r="KX104" s="44">
        <v>981.63199999999995</v>
      </c>
      <c r="KY104" s="44">
        <v>2486.1689999999999</v>
      </c>
      <c r="KZ104" s="44">
        <v>3649.9920000000002</v>
      </c>
      <c r="LA104" s="44">
        <v>3579.81</v>
      </c>
      <c r="LB104" s="44">
        <v>1230.54</v>
      </c>
      <c r="LC104" s="44">
        <v>2356.317</v>
      </c>
      <c r="LD104" s="44">
        <v>1599.173</v>
      </c>
      <c r="LE104" s="44">
        <v>1332.0691000000002</v>
      </c>
      <c r="LF104" s="44">
        <v>1105.7080000000001</v>
      </c>
      <c r="LG104" s="44">
        <v>1143.5899999999999</v>
      </c>
      <c r="LH104" s="44">
        <v>1443.1941999999999</v>
      </c>
      <c r="LI104" s="44">
        <v>1433.259</v>
      </c>
      <c r="LJ104" s="44">
        <v>1661.9639999999999</v>
      </c>
      <c r="LK104" s="44">
        <v>1840.6010000000001</v>
      </c>
      <c r="LL104" s="44">
        <v>1752.181</v>
      </c>
      <c r="LM104" s="44">
        <v>1879.9446300000002</v>
      </c>
      <c r="LN104" s="44">
        <v>1714.98</v>
      </c>
      <c r="LO104" s="44">
        <v>1674.664</v>
      </c>
      <c r="LP104" s="44">
        <v>2224.5880000000002</v>
      </c>
      <c r="LQ104" s="44">
        <v>1919.99731</v>
      </c>
      <c r="LR104" s="44">
        <v>1762.85</v>
      </c>
      <c r="LS104" s="44">
        <v>1928.1307800000002</v>
      </c>
      <c r="LT104" s="44">
        <v>1529.3925700000002</v>
      </c>
      <c r="LU104" s="43"/>
      <c r="LV104" s="43"/>
      <c r="LW104" s="43"/>
      <c r="LX104" s="43"/>
    </row>
    <row r="105" spans="1:336" s="29" customFormat="1" ht="18" x14ac:dyDescent="0.3">
      <c r="A105" s="33" t="s">
        <v>162</v>
      </c>
      <c r="B105" s="42" t="s">
        <v>158</v>
      </c>
      <c r="C105" s="43" t="s">
        <v>86</v>
      </c>
      <c r="D105" s="44" t="s">
        <v>86</v>
      </c>
      <c r="E105" s="44" t="s">
        <v>86</v>
      </c>
      <c r="F105" s="44" t="s">
        <v>86</v>
      </c>
      <c r="G105" s="44" t="s">
        <v>86</v>
      </c>
      <c r="H105" s="44" t="s">
        <v>86</v>
      </c>
      <c r="I105" s="44" t="s">
        <v>86</v>
      </c>
      <c r="J105" s="44" t="s">
        <v>86</v>
      </c>
      <c r="K105" s="44" t="s">
        <v>86</v>
      </c>
      <c r="L105" s="44" t="s">
        <v>86</v>
      </c>
      <c r="M105" s="44" t="s">
        <v>86</v>
      </c>
      <c r="N105" s="44" t="s">
        <v>86</v>
      </c>
      <c r="O105" s="44" t="s">
        <v>86</v>
      </c>
      <c r="P105" s="44" t="s">
        <v>86</v>
      </c>
      <c r="Q105" s="44" t="s">
        <v>86</v>
      </c>
      <c r="R105" s="44" t="s">
        <v>86</v>
      </c>
      <c r="S105" s="44" t="s">
        <v>86</v>
      </c>
      <c r="T105" s="44" t="s">
        <v>86</v>
      </c>
      <c r="U105" s="44" t="s">
        <v>86</v>
      </c>
      <c r="V105" s="44" t="s">
        <v>86</v>
      </c>
      <c r="W105" s="44" t="s">
        <v>86</v>
      </c>
      <c r="X105" s="44" t="s">
        <v>86</v>
      </c>
      <c r="Y105" s="44" t="s">
        <v>86</v>
      </c>
      <c r="Z105" s="44" t="s">
        <v>86</v>
      </c>
      <c r="AA105" s="44" t="s">
        <v>86</v>
      </c>
      <c r="AB105" s="44" t="s">
        <v>86</v>
      </c>
      <c r="AC105" s="44" t="s">
        <v>86</v>
      </c>
      <c r="AD105" s="44" t="s">
        <v>86</v>
      </c>
      <c r="AE105" s="44" t="s">
        <v>86</v>
      </c>
      <c r="AF105" s="44" t="s">
        <v>86</v>
      </c>
      <c r="AG105" s="44" t="s">
        <v>86</v>
      </c>
      <c r="AH105" s="44" t="s">
        <v>86</v>
      </c>
      <c r="AI105" s="44" t="s">
        <v>86</v>
      </c>
      <c r="AJ105" s="44" t="s">
        <v>86</v>
      </c>
      <c r="AK105" s="44" t="s">
        <v>86</v>
      </c>
      <c r="AL105" s="44" t="s">
        <v>86</v>
      </c>
      <c r="AM105" s="44" t="s">
        <v>86</v>
      </c>
      <c r="AN105" s="44" t="s">
        <v>86</v>
      </c>
      <c r="AO105" s="44" t="s">
        <v>86</v>
      </c>
      <c r="AP105" s="44" t="s">
        <v>86</v>
      </c>
      <c r="AQ105" s="44">
        <v>629.18600000000004</v>
      </c>
      <c r="AR105" s="44">
        <v>271</v>
      </c>
      <c r="AS105" s="44">
        <v>300.89999999999998</v>
      </c>
      <c r="AT105" s="44">
        <v>84</v>
      </c>
      <c r="AU105" s="44">
        <v>264.75</v>
      </c>
      <c r="AV105" s="44" t="s">
        <v>86</v>
      </c>
      <c r="AW105" s="44">
        <v>96.6</v>
      </c>
      <c r="AX105" s="44">
        <v>6472</v>
      </c>
      <c r="AY105" s="44" t="s">
        <v>86</v>
      </c>
      <c r="AZ105" s="44" t="s">
        <v>86</v>
      </c>
      <c r="BA105" s="44" t="s">
        <v>86</v>
      </c>
      <c r="BB105" s="44" t="s">
        <v>86</v>
      </c>
      <c r="BC105" s="44" t="s">
        <v>86</v>
      </c>
      <c r="BD105" s="44" t="s">
        <v>86</v>
      </c>
      <c r="BE105" s="44" t="s">
        <v>86</v>
      </c>
      <c r="BF105" s="44" t="s">
        <v>86</v>
      </c>
      <c r="BG105" s="44" t="s">
        <v>86</v>
      </c>
      <c r="BH105" s="44" t="s">
        <v>86</v>
      </c>
      <c r="BI105" s="44" t="s">
        <v>86</v>
      </c>
      <c r="BJ105" s="44" t="s">
        <v>86</v>
      </c>
      <c r="BK105" s="44" t="s">
        <v>86</v>
      </c>
      <c r="BL105" s="44" t="s">
        <v>86</v>
      </c>
      <c r="BM105" s="44" t="s">
        <v>86</v>
      </c>
      <c r="BN105" s="44" t="s">
        <v>86</v>
      </c>
      <c r="BO105" s="44">
        <v>3888.761</v>
      </c>
      <c r="BP105" s="44">
        <v>5851.7349999999997</v>
      </c>
      <c r="BQ105" s="44"/>
      <c r="BR105" s="44"/>
      <c r="BS105" s="44">
        <v>1888.259</v>
      </c>
      <c r="BT105" s="44">
        <v>4504.2240000000002</v>
      </c>
      <c r="BU105" s="44">
        <v>5433.6729999999998</v>
      </c>
      <c r="BV105" s="44">
        <v>4013.2579999999998</v>
      </c>
      <c r="BW105" s="44">
        <v>3091.64</v>
      </c>
      <c r="BX105" s="44">
        <v>1289.058</v>
      </c>
      <c r="BY105" s="44">
        <v>2845.404</v>
      </c>
      <c r="BZ105" s="44">
        <v>1448.6559999999999</v>
      </c>
      <c r="CA105" s="44">
        <v>2907.616</v>
      </c>
      <c r="CB105" s="44">
        <v>2828.5160000000001</v>
      </c>
      <c r="CC105" s="44">
        <v>2595.739</v>
      </c>
      <c r="CD105" s="44">
        <v>2629.7539999999999</v>
      </c>
      <c r="CE105" s="44">
        <v>5467.59</v>
      </c>
      <c r="CF105" s="44">
        <v>3295.8110000000001</v>
      </c>
      <c r="CG105" s="44">
        <v>3476.5949999999998</v>
      </c>
      <c r="CH105" s="44">
        <v>2021</v>
      </c>
      <c r="CI105" s="44"/>
      <c r="CJ105" s="44"/>
      <c r="CK105" s="44"/>
      <c r="CL105" s="44">
        <v>4311.9830000000002</v>
      </c>
      <c r="CM105" s="44">
        <v>4587.8969999999999</v>
      </c>
      <c r="CN105" s="44">
        <v>23093</v>
      </c>
      <c r="CO105" s="44" t="s">
        <v>86</v>
      </c>
      <c r="CP105" s="44" t="s">
        <v>86</v>
      </c>
      <c r="CQ105" s="44" t="s">
        <v>86</v>
      </c>
      <c r="CR105" s="44" t="s">
        <v>86</v>
      </c>
      <c r="CS105" s="44" t="s">
        <v>86</v>
      </c>
      <c r="CT105" s="44" t="s">
        <v>86</v>
      </c>
      <c r="CU105" s="44" t="s">
        <v>86</v>
      </c>
      <c r="CV105" s="44" t="s">
        <v>86</v>
      </c>
      <c r="CW105" s="44" t="s">
        <v>86</v>
      </c>
      <c r="CX105" s="44" t="s">
        <v>86</v>
      </c>
      <c r="CY105" s="44" t="s">
        <v>86</v>
      </c>
      <c r="CZ105" s="44" t="s">
        <v>86</v>
      </c>
      <c r="DA105" s="44" t="s">
        <v>86</v>
      </c>
      <c r="DB105" s="44" t="s">
        <v>86</v>
      </c>
      <c r="DC105" s="44" t="s">
        <v>86</v>
      </c>
      <c r="DD105" s="44" t="s">
        <v>86</v>
      </c>
      <c r="DE105" s="44" t="s">
        <v>86</v>
      </c>
      <c r="DF105" s="44" t="s">
        <v>86</v>
      </c>
      <c r="DG105" s="44" t="s">
        <v>86</v>
      </c>
      <c r="DH105" s="44">
        <v>87.1</v>
      </c>
      <c r="DI105" s="44">
        <v>302.72000000000003</v>
      </c>
      <c r="DJ105" s="44">
        <v>1858.7</v>
      </c>
      <c r="DK105" s="44">
        <v>2401.23</v>
      </c>
      <c r="DL105" s="44">
        <v>2459.4</v>
      </c>
      <c r="DM105" s="44">
        <v>2272.13</v>
      </c>
      <c r="DN105" s="44">
        <v>2671.16</v>
      </c>
      <c r="DO105" s="44">
        <v>2515.9699999999998</v>
      </c>
      <c r="DP105" s="44">
        <v>2775.6</v>
      </c>
      <c r="DQ105" s="44">
        <v>3038.92</v>
      </c>
      <c r="DR105" s="44">
        <v>2029.57</v>
      </c>
      <c r="DS105" s="44">
        <v>2813.81</v>
      </c>
      <c r="DT105" s="44">
        <v>2028.69</v>
      </c>
      <c r="DU105" s="44">
        <v>1893.93</v>
      </c>
      <c r="DV105" s="44">
        <v>0</v>
      </c>
      <c r="DW105" s="44">
        <v>0</v>
      </c>
      <c r="DX105" s="44">
        <v>0</v>
      </c>
      <c r="DY105" s="44">
        <v>1965</v>
      </c>
      <c r="DZ105" s="44">
        <v>1698</v>
      </c>
      <c r="EA105" s="44">
        <v>117.5</v>
      </c>
      <c r="EB105" s="44">
        <v>713.56</v>
      </c>
      <c r="EC105" s="44">
        <v>2568.31</v>
      </c>
      <c r="ED105" s="44">
        <v>2088.6060000000002</v>
      </c>
      <c r="EE105" s="44"/>
      <c r="EF105" s="44">
        <v>2157.6999999999998</v>
      </c>
      <c r="EG105" s="44">
        <v>1629.9</v>
      </c>
      <c r="EH105" s="44">
        <v>1625.02</v>
      </c>
      <c r="EI105" s="44">
        <v>1673.02</v>
      </c>
      <c r="EJ105" s="44">
        <v>1828.61</v>
      </c>
      <c r="EK105" s="44">
        <v>1718.1</v>
      </c>
      <c r="EL105" s="44">
        <v>1718.1</v>
      </c>
      <c r="EM105" s="44">
        <v>1896.81</v>
      </c>
      <c r="EN105" s="44">
        <v>1984</v>
      </c>
      <c r="EO105" s="44">
        <v>2134.4499999999998</v>
      </c>
      <c r="EP105" s="44">
        <v>9510</v>
      </c>
      <c r="EQ105" s="44">
        <v>10421.81</v>
      </c>
      <c r="ER105" s="44">
        <v>7866.56</v>
      </c>
      <c r="ES105" s="44">
        <v>7658.34</v>
      </c>
      <c r="ET105" s="44">
        <v>6454.47</v>
      </c>
      <c r="EU105" s="44">
        <v>4414</v>
      </c>
      <c r="EV105" s="44">
        <v>4707.12</v>
      </c>
      <c r="EW105" s="44">
        <v>4524</v>
      </c>
      <c r="EX105" s="44">
        <v>4343.1499999999996</v>
      </c>
      <c r="EY105" s="44">
        <v>4210.8500000000004</v>
      </c>
      <c r="EZ105" s="44">
        <v>5056.32</v>
      </c>
      <c r="FA105" s="44">
        <v>4549.8999999999996</v>
      </c>
      <c r="FB105" s="44">
        <v>6733.38</v>
      </c>
      <c r="FC105" s="44">
        <v>5624.67</v>
      </c>
      <c r="FD105" s="44">
        <v>5308.23</v>
      </c>
      <c r="FE105" s="44">
        <v>5948.03</v>
      </c>
      <c r="FF105" s="44">
        <v>5736.7</v>
      </c>
      <c r="FG105" s="44">
        <v>7136.79</v>
      </c>
      <c r="FH105" s="44">
        <v>6009.78</v>
      </c>
      <c r="FI105" s="44">
        <v>9820.7999999999993</v>
      </c>
      <c r="FJ105" s="44">
        <v>8454.75</v>
      </c>
      <c r="FK105" s="44">
        <v>7459.43</v>
      </c>
      <c r="FL105" s="44">
        <v>5258.5</v>
      </c>
      <c r="FM105" s="44">
        <v>6408.24</v>
      </c>
      <c r="FN105" s="44">
        <v>5622.97</v>
      </c>
      <c r="FO105" s="44">
        <v>5211.0200000000004</v>
      </c>
      <c r="FP105" s="44">
        <v>5211.0200000000004</v>
      </c>
      <c r="FQ105" s="44">
        <v>4755.07</v>
      </c>
      <c r="FR105" s="44">
        <v>5599.19</v>
      </c>
      <c r="FS105" s="44">
        <v>4914.17</v>
      </c>
      <c r="FT105" s="44">
        <v>5859.73</v>
      </c>
      <c r="FU105" s="44">
        <v>5345.26</v>
      </c>
      <c r="FV105" s="44">
        <v>6056.4</v>
      </c>
      <c r="FW105" s="44">
        <v>5753.8</v>
      </c>
      <c r="FX105" s="44">
        <v>5695.04</v>
      </c>
      <c r="FY105" s="44">
        <v>5847.69</v>
      </c>
      <c r="FZ105" s="44">
        <v>5761.97</v>
      </c>
      <c r="GA105" s="44">
        <v>5768.23</v>
      </c>
      <c r="GB105" s="44">
        <v>7236.27</v>
      </c>
      <c r="GC105" s="44">
        <v>6255.49</v>
      </c>
      <c r="GD105" s="44">
        <v>7192.85</v>
      </c>
      <c r="GE105" s="44">
        <v>7751.23</v>
      </c>
      <c r="GF105" s="44">
        <v>9737.4</v>
      </c>
      <c r="GG105" s="44">
        <v>6929.79</v>
      </c>
      <c r="GH105" s="44">
        <v>6801.52</v>
      </c>
      <c r="GI105" s="44">
        <v>9612.0499999999993</v>
      </c>
      <c r="GJ105" s="44">
        <v>6574.74</v>
      </c>
      <c r="GK105" s="44">
        <v>7908.42</v>
      </c>
      <c r="GL105" s="44">
        <v>7004.61</v>
      </c>
      <c r="GM105" s="44">
        <v>6244.24</v>
      </c>
      <c r="GN105" s="44">
        <v>6777.65</v>
      </c>
      <c r="GO105" s="44">
        <v>6278.84</v>
      </c>
      <c r="GP105" s="44">
        <v>8387.68</v>
      </c>
      <c r="GQ105" s="44"/>
      <c r="GR105" s="44">
        <v>6384.08</v>
      </c>
      <c r="GS105" s="44">
        <v>5403</v>
      </c>
      <c r="GT105" s="44">
        <v>6585.91</v>
      </c>
      <c r="GU105" s="44" t="s">
        <v>86</v>
      </c>
      <c r="GV105" s="44" t="s">
        <v>86</v>
      </c>
      <c r="GW105" s="44" t="s">
        <v>86</v>
      </c>
      <c r="GX105" s="44" t="s">
        <v>86</v>
      </c>
      <c r="GY105" s="44" t="s">
        <v>86</v>
      </c>
      <c r="GZ105" s="44" t="s">
        <v>86</v>
      </c>
      <c r="HA105" s="44" t="s">
        <v>86</v>
      </c>
      <c r="HB105" s="44" t="s">
        <v>86</v>
      </c>
      <c r="HC105" s="44" t="s">
        <v>86</v>
      </c>
      <c r="HD105" s="44" t="s">
        <v>86</v>
      </c>
      <c r="HE105" s="44" t="s">
        <v>86</v>
      </c>
      <c r="HF105" s="44" t="s">
        <v>86</v>
      </c>
      <c r="HG105" s="44" t="s">
        <v>86</v>
      </c>
      <c r="HH105" s="44" t="s">
        <v>86</v>
      </c>
      <c r="HI105" s="44" t="s">
        <v>86</v>
      </c>
      <c r="HJ105" s="44" t="s">
        <v>86</v>
      </c>
      <c r="HK105" s="44">
        <v>549.49</v>
      </c>
      <c r="HL105" s="44" t="s">
        <v>86</v>
      </c>
      <c r="HM105" s="44" t="s">
        <v>86</v>
      </c>
      <c r="HN105" s="44" t="s">
        <v>86</v>
      </c>
      <c r="HO105" s="44" t="s">
        <v>86</v>
      </c>
      <c r="HP105" s="44">
        <v>8269.08</v>
      </c>
      <c r="HQ105" s="44" t="s">
        <v>86</v>
      </c>
      <c r="HR105" s="44" t="s">
        <v>86</v>
      </c>
      <c r="HS105" s="44" t="s">
        <v>86</v>
      </c>
      <c r="HT105" s="44" t="s">
        <v>86</v>
      </c>
      <c r="HU105" s="44" t="s">
        <v>86</v>
      </c>
      <c r="HV105" s="44" t="s">
        <v>86</v>
      </c>
      <c r="HW105" s="44" t="s">
        <v>86</v>
      </c>
      <c r="HX105" s="44" t="s">
        <v>86</v>
      </c>
      <c r="HY105" s="44" t="s">
        <v>86</v>
      </c>
      <c r="HZ105" s="44" t="s">
        <v>86</v>
      </c>
      <c r="IA105" s="44" t="s">
        <v>86</v>
      </c>
      <c r="IB105" s="44" t="s">
        <v>86</v>
      </c>
      <c r="IC105" s="44" t="s">
        <v>86</v>
      </c>
      <c r="ID105" s="44" t="s">
        <v>86</v>
      </c>
      <c r="IE105" s="44" t="s">
        <v>86</v>
      </c>
      <c r="IF105" s="44" t="s">
        <v>86</v>
      </c>
      <c r="IG105" s="44" t="s">
        <v>86</v>
      </c>
      <c r="IH105" s="44" t="s">
        <v>86</v>
      </c>
      <c r="II105" s="44" t="s">
        <v>86</v>
      </c>
      <c r="IJ105" s="44" t="s">
        <v>86</v>
      </c>
      <c r="IK105" s="44" t="s">
        <v>86</v>
      </c>
      <c r="IL105" s="44" t="s">
        <v>86</v>
      </c>
      <c r="IM105" s="44" t="s">
        <v>86</v>
      </c>
      <c r="IN105" s="44" t="s">
        <v>86</v>
      </c>
      <c r="IO105" s="44" t="s">
        <v>93</v>
      </c>
      <c r="IP105" s="44"/>
      <c r="IQ105" s="44" t="s">
        <v>93</v>
      </c>
      <c r="IR105" s="44">
        <v>8912.64</v>
      </c>
      <c r="IS105" s="44" t="s">
        <v>93</v>
      </c>
      <c r="IT105" s="44">
        <v>9869.0897999999997</v>
      </c>
      <c r="IU105" s="44" t="s">
        <v>93</v>
      </c>
      <c r="IV105" s="44" t="s">
        <v>93</v>
      </c>
      <c r="IW105" s="44" t="s">
        <v>93</v>
      </c>
      <c r="IX105" s="44" t="s">
        <v>93</v>
      </c>
      <c r="IY105" s="44" t="s">
        <v>93</v>
      </c>
      <c r="IZ105" s="44" t="s">
        <v>93</v>
      </c>
      <c r="JA105" s="44" t="s">
        <v>93</v>
      </c>
      <c r="JB105" s="44" t="s">
        <v>93</v>
      </c>
      <c r="JC105" s="44" t="s">
        <v>93</v>
      </c>
      <c r="JD105" s="44" t="s">
        <v>93</v>
      </c>
      <c r="JE105" s="44">
        <v>11028.4668</v>
      </c>
      <c r="JF105" s="44">
        <v>10111.311</v>
      </c>
      <c r="JG105" s="44">
        <v>10648.819579999999</v>
      </c>
      <c r="JH105" s="44">
        <v>10825.36205</v>
      </c>
      <c r="JI105" s="44">
        <v>9844.3650400000006</v>
      </c>
      <c r="JJ105" s="44">
        <v>10761.545</v>
      </c>
      <c r="JK105" s="44">
        <v>10983.008</v>
      </c>
      <c r="JL105" s="44">
        <v>12828.21488</v>
      </c>
      <c r="JM105" s="44"/>
      <c r="JN105" s="44">
        <v>10390.938</v>
      </c>
      <c r="JO105" s="44"/>
      <c r="JP105" s="44">
        <v>10293.221</v>
      </c>
      <c r="JQ105" s="44">
        <v>10724.781000000001</v>
      </c>
      <c r="JR105" s="44">
        <v>11264.171</v>
      </c>
      <c r="JS105" s="44">
        <v>11688.056</v>
      </c>
      <c r="JT105" s="44">
        <v>13038.365</v>
      </c>
      <c r="JU105" s="44">
        <v>11812.57345</v>
      </c>
      <c r="JV105" s="44">
        <v>12341.8716</v>
      </c>
      <c r="JW105" s="44">
        <v>11525.672500000001</v>
      </c>
      <c r="JX105" s="44">
        <v>12516.995449999999</v>
      </c>
      <c r="JY105" s="44">
        <v>10890.329250000001</v>
      </c>
      <c r="JZ105" s="44">
        <v>9486.7219000000005</v>
      </c>
      <c r="KA105" s="44">
        <v>10530.63385</v>
      </c>
      <c r="KB105" s="44">
        <v>9786.9588500000009</v>
      </c>
      <c r="KC105" s="44">
        <v>9901.2210500000001</v>
      </c>
      <c r="KD105" s="44">
        <v>10721.2268</v>
      </c>
      <c r="KE105" s="44">
        <v>9714.89545</v>
      </c>
      <c r="KF105" s="44">
        <v>11487.450800000001</v>
      </c>
      <c r="KG105" s="44">
        <v>10549.358699999999</v>
      </c>
      <c r="KH105" s="44">
        <v>9664.6733499999991</v>
      </c>
      <c r="KI105" s="44">
        <v>9044.3060000000005</v>
      </c>
      <c r="KJ105" s="44">
        <v>10417.7845</v>
      </c>
      <c r="KK105" s="44">
        <v>9550.8551500000012</v>
      </c>
      <c r="KL105" s="44">
        <v>7885.25965</v>
      </c>
      <c r="KM105" s="44">
        <v>10689.9791</v>
      </c>
      <c r="KN105" s="44">
        <v>8956.3164499999984</v>
      </c>
      <c r="KO105" s="44">
        <v>8362.8549000000003</v>
      </c>
      <c r="KP105" s="44">
        <v>7757.8142500000004</v>
      </c>
      <c r="KQ105" s="44">
        <v>9880.5393000000004</v>
      </c>
      <c r="KR105" s="44">
        <v>9329.0154000000002</v>
      </c>
      <c r="KS105" s="44">
        <v>9695.5490000000009</v>
      </c>
      <c r="KT105" s="44">
        <v>9080.6095000000005</v>
      </c>
      <c r="KU105" s="44">
        <v>9015.9730500000005</v>
      </c>
      <c r="KV105" s="44">
        <v>10615.0749</v>
      </c>
      <c r="KW105" s="44">
        <v>9253.5575000000008</v>
      </c>
      <c r="KX105" s="44">
        <v>8661.3399000000009</v>
      </c>
      <c r="KY105" s="44">
        <v>9315.9464000000007</v>
      </c>
      <c r="KZ105" s="44">
        <v>9438.9755999999998</v>
      </c>
      <c r="LA105" s="44">
        <v>9438.4521000000022</v>
      </c>
      <c r="LB105" s="44">
        <v>10522.231</v>
      </c>
      <c r="LC105" s="44">
        <v>10614.475</v>
      </c>
      <c r="LD105" s="44">
        <v>10301.476000000001</v>
      </c>
      <c r="LE105" s="44">
        <v>9259.9680000000008</v>
      </c>
      <c r="LF105" s="44">
        <v>10245.235000000001</v>
      </c>
      <c r="LG105" s="44">
        <v>9751.8259999999991</v>
      </c>
      <c r="LH105" s="44">
        <v>11962.112999999999</v>
      </c>
      <c r="LI105" s="44">
        <v>9493.1209999999992</v>
      </c>
      <c r="LJ105" s="44">
        <v>9304.9120000000003</v>
      </c>
      <c r="LK105" s="44">
        <v>9842.9249999999993</v>
      </c>
      <c r="LL105" s="44">
        <v>9707.8799999999992</v>
      </c>
      <c r="LM105" s="44">
        <v>9011.5059999999994</v>
      </c>
      <c r="LN105" s="44">
        <v>9427.7189999999991</v>
      </c>
      <c r="LO105" s="44">
        <v>11210.726000000001</v>
      </c>
      <c r="LP105" s="44">
        <v>10232.891</v>
      </c>
      <c r="LQ105" s="44">
        <v>9683.634</v>
      </c>
      <c r="LR105" s="44">
        <v>10003.074000000001</v>
      </c>
      <c r="LS105" s="44">
        <v>10793.441999999999</v>
      </c>
      <c r="LT105" s="44">
        <v>10514.816999999999</v>
      </c>
      <c r="LU105" s="43"/>
      <c r="LV105" s="43"/>
      <c r="LW105" s="43"/>
      <c r="LX105" s="43"/>
    </row>
    <row r="106" spans="1:336" s="29" customFormat="1" x14ac:dyDescent="0.3">
      <c r="A106" s="33" t="s">
        <v>163</v>
      </c>
      <c r="B106" s="46" t="s">
        <v>104</v>
      </c>
      <c r="C106" s="43" t="s">
        <v>86</v>
      </c>
      <c r="D106" s="44" t="s">
        <v>86</v>
      </c>
      <c r="E106" s="44" t="s">
        <v>86</v>
      </c>
      <c r="F106" s="44" t="s">
        <v>86</v>
      </c>
      <c r="G106" s="44" t="s">
        <v>86</v>
      </c>
      <c r="H106" s="44" t="s">
        <v>86</v>
      </c>
      <c r="I106" s="44" t="s">
        <v>86</v>
      </c>
      <c r="J106" s="44" t="s">
        <v>86</v>
      </c>
      <c r="K106" s="44" t="s">
        <v>86</v>
      </c>
      <c r="L106" s="44" t="s">
        <v>86</v>
      </c>
      <c r="M106" s="44" t="s">
        <v>86</v>
      </c>
      <c r="N106" s="44" t="s">
        <v>86</v>
      </c>
      <c r="O106" s="44">
        <v>26.3</v>
      </c>
      <c r="P106" s="44">
        <v>23.6</v>
      </c>
      <c r="Q106" s="44">
        <v>18.3</v>
      </c>
      <c r="R106" s="44">
        <v>27.3</v>
      </c>
      <c r="S106" s="44">
        <v>26.5</v>
      </c>
      <c r="T106" s="44">
        <v>26.4</v>
      </c>
      <c r="U106" s="44">
        <v>25.5</v>
      </c>
      <c r="V106" s="44">
        <v>19.899999999999999</v>
      </c>
      <c r="W106" s="44">
        <v>20.399999999999999</v>
      </c>
      <c r="X106" s="44">
        <v>18.399999999999999</v>
      </c>
      <c r="Y106" s="44">
        <v>22.3</v>
      </c>
      <c r="Z106" s="44">
        <v>20</v>
      </c>
      <c r="AA106" s="44">
        <v>20.5</v>
      </c>
      <c r="AB106" s="44">
        <v>21.9</v>
      </c>
      <c r="AC106" s="44">
        <v>20.3</v>
      </c>
      <c r="AD106" s="44" t="s">
        <v>86</v>
      </c>
      <c r="AE106" s="44" t="s">
        <v>86</v>
      </c>
      <c r="AF106" s="44" t="s">
        <v>86</v>
      </c>
      <c r="AG106" s="44" t="s">
        <v>86</v>
      </c>
      <c r="AH106" s="44" t="s">
        <v>86</v>
      </c>
      <c r="AI106" s="44" t="s">
        <v>86</v>
      </c>
      <c r="AJ106" s="44" t="s">
        <v>86</v>
      </c>
      <c r="AK106" s="44">
        <f>1160/1000</f>
        <v>1.1599999999999999</v>
      </c>
      <c r="AL106" s="44" t="s">
        <v>86</v>
      </c>
      <c r="AM106" s="44">
        <f>21389.5/1000</f>
        <v>21.389500000000002</v>
      </c>
      <c r="AN106" s="44">
        <f>3005.4/1000</f>
        <v>3.0054000000000003</v>
      </c>
      <c r="AO106" s="44">
        <f>2812.9/1000</f>
        <v>2.8129</v>
      </c>
      <c r="AP106" s="44">
        <f>18596/1000</f>
        <v>18.596</v>
      </c>
      <c r="AQ106" s="44">
        <f>17154.5/1000</f>
        <v>17.154499999999999</v>
      </c>
      <c r="AR106" s="44">
        <f>16794.44/1000</f>
        <v>16.794439999999998</v>
      </c>
      <c r="AS106" s="44">
        <f>16295/1000</f>
        <v>16.295000000000002</v>
      </c>
      <c r="AT106" s="44">
        <f>14605.5/1000</f>
        <v>14.605499999999999</v>
      </c>
      <c r="AU106" s="44">
        <f>16037/1000</f>
        <v>16.036999999999999</v>
      </c>
      <c r="AV106" s="44">
        <f>15982/1000</f>
        <v>15.981999999999999</v>
      </c>
      <c r="AW106" s="44">
        <f>15446.635/1000</f>
        <v>15.446635000000001</v>
      </c>
      <c r="AX106" s="44">
        <f>16706/1000</f>
        <v>16.706</v>
      </c>
      <c r="AY106" s="44">
        <f>18900/1000</f>
        <v>18.899999999999999</v>
      </c>
      <c r="AZ106" s="44">
        <f>17710.78/1000</f>
        <v>17.71078</v>
      </c>
      <c r="BA106" s="44">
        <f>15672.53/1000</f>
        <v>15.67253</v>
      </c>
      <c r="BB106" s="44">
        <f>19256.5/1000</f>
        <v>19.256499999999999</v>
      </c>
      <c r="BC106" s="44">
        <f>12845.405/1000</f>
        <v>12.845405000000001</v>
      </c>
      <c r="BD106" s="44">
        <f>15320/1000</f>
        <v>15.32</v>
      </c>
      <c r="BE106" s="44">
        <f>2936/1000</f>
        <v>2.9359999999999999</v>
      </c>
      <c r="BF106" s="44">
        <f>14332/1000</f>
        <v>14.332000000000001</v>
      </c>
      <c r="BG106" s="44">
        <f>14332/1000</f>
        <v>14.332000000000001</v>
      </c>
      <c r="BH106" s="44">
        <f>10848/1000</f>
        <v>10.848000000000001</v>
      </c>
      <c r="BI106" s="44">
        <f>11277/1000</f>
        <v>11.276999999999999</v>
      </c>
      <c r="BJ106" s="44">
        <f>11448/1000</f>
        <v>11.448</v>
      </c>
      <c r="BK106" s="44">
        <f>12645/1000</f>
        <v>12.645</v>
      </c>
      <c r="BL106" s="44">
        <f>13416.79/1000</f>
        <v>13.416790000000001</v>
      </c>
      <c r="BM106" s="44" t="s">
        <v>86</v>
      </c>
      <c r="BN106" s="44" t="s">
        <v>86</v>
      </c>
      <c r="BO106" s="44">
        <f>11957.124/1000</f>
        <v>11.957124</v>
      </c>
      <c r="BP106" s="44">
        <f>13400.663/1000</f>
        <v>13.400663</v>
      </c>
      <c r="BQ106" s="44">
        <f>14388.246/1000</f>
        <v>14.388245999999999</v>
      </c>
      <c r="BR106" s="44">
        <f>12755.453/1000</f>
        <v>12.755452999999999</v>
      </c>
      <c r="BS106" s="44">
        <f>13134.034/1000</f>
        <v>13.134034</v>
      </c>
      <c r="BT106" s="44">
        <f>13595.096/1000</f>
        <v>13.595096</v>
      </c>
      <c r="BU106" s="44">
        <f>14568.73/1000</f>
        <v>14.56873</v>
      </c>
      <c r="BV106" s="44">
        <f>15567.354/1000</f>
        <v>15.567354</v>
      </c>
      <c r="BW106" s="44">
        <f>16040.131/1000</f>
        <v>16.040130999999999</v>
      </c>
      <c r="BX106" s="44">
        <f>14942.177/1000</f>
        <v>14.942176999999999</v>
      </c>
      <c r="BY106" s="44">
        <f>13480.134/1000</f>
        <v>13.480134</v>
      </c>
      <c r="BZ106" s="44">
        <f>13989.311/1000</f>
        <v>13.989310999999999</v>
      </c>
      <c r="CA106" s="44">
        <f>12687.674/1000</f>
        <v>12.687674000000001</v>
      </c>
      <c r="CB106" s="44">
        <f>14359.556/1000</f>
        <v>14.359556000000001</v>
      </c>
      <c r="CC106" s="44">
        <f>13900.013/1000</f>
        <v>13.900013000000001</v>
      </c>
      <c r="CD106" s="44">
        <f>12436.476/1000</f>
        <v>12.436476000000001</v>
      </c>
      <c r="CE106" s="44">
        <f>14754.877/1000</f>
        <v>14.754877</v>
      </c>
      <c r="CF106" s="44">
        <f>13815.656/1000</f>
        <v>13.815656000000001</v>
      </c>
      <c r="CG106" s="44">
        <f>13526.355/1000</f>
        <v>13.526354999999999</v>
      </c>
      <c r="CH106" s="44">
        <f>13334.053/1000</f>
        <v>13.334052999999999</v>
      </c>
      <c r="CI106" s="44">
        <f>13574.122/1000</f>
        <v>13.574121999999999</v>
      </c>
      <c r="CJ106" s="44">
        <f>13851.401/1000</f>
        <v>13.851400999999999</v>
      </c>
      <c r="CK106" s="44">
        <f>12696.689/1000</f>
        <v>12.696689000000001</v>
      </c>
      <c r="CL106" s="44">
        <f>13210.299/1000</f>
        <v>13.210299000000001</v>
      </c>
      <c r="CM106" s="44">
        <f>11383.267/1000</f>
        <v>11.383267</v>
      </c>
      <c r="CN106" s="44">
        <f>12510.94/1000</f>
        <v>12.51094</v>
      </c>
      <c r="CO106" s="44">
        <f>13072.544/1000</f>
        <v>13.072544000000001</v>
      </c>
      <c r="CP106" s="44">
        <f>13238.69/1000</f>
        <v>13.23869</v>
      </c>
      <c r="CQ106" s="44">
        <f>13710.62/1000</f>
        <v>13.71062</v>
      </c>
      <c r="CR106" s="44">
        <f>14898.418/1000</f>
        <v>14.898417999999999</v>
      </c>
      <c r="CS106" s="44">
        <f>15001.944/1000</f>
        <v>15.001944</v>
      </c>
      <c r="CT106" s="44">
        <f>14667.004/1000</f>
        <v>14.667004</v>
      </c>
      <c r="CU106" s="44">
        <f>16175.381/1000</f>
        <v>16.175380999999998</v>
      </c>
      <c r="CV106" s="44">
        <f>14284.68/1000</f>
        <v>14.28468</v>
      </c>
      <c r="CW106" s="44">
        <f>15639.125/1000</f>
        <v>15.639125</v>
      </c>
      <c r="CX106" s="44">
        <f>16506.958/1000</f>
        <v>16.506957999999997</v>
      </c>
      <c r="CY106" s="44">
        <f>13059.42/1000</f>
        <v>13.059419999999999</v>
      </c>
      <c r="CZ106" s="44">
        <f>15013/1000</f>
        <v>15.013</v>
      </c>
      <c r="DA106" s="44">
        <f>14023.74/1000</f>
        <v>14.02374</v>
      </c>
      <c r="DB106" s="44">
        <f>13044.6/1000</f>
        <v>13.044600000000001</v>
      </c>
      <c r="DC106" s="44">
        <f>13204.81/1000</f>
        <v>13.20481</v>
      </c>
      <c r="DD106" s="44">
        <f>12547.44/1000</f>
        <v>12.54744</v>
      </c>
      <c r="DE106" s="44">
        <f>15266.83/1000</f>
        <v>15.266830000000001</v>
      </c>
      <c r="DF106" s="44">
        <f>14667/1000</f>
        <v>14.667</v>
      </c>
      <c r="DG106" s="44">
        <v>38.47</v>
      </c>
      <c r="DH106" s="44">
        <v>35.94</v>
      </c>
      <c r="DI106" s="44">
        <v>23.23</v>
      </c>
      <c r="DJ106" s="44">
        <v>24.57</v>
      </c>
      <c r="DK106" s="44">
        <v>22.87</v>
      </c>
      <c r="DL106" s="44">
        <v>18.899999999999999</v>
      </c>
      <c r="DM106" s="44">
        <v>13.43979</v>
      </c>
      <c r="DN106" s="44">
        <v>13.28993</v>
      </c>
      <c r="DO106" s="44">
        <v>11.188549999999999</v>
      </c>
      <c r="DP106" s="44">
        <v>10.17</v>
      </c>
      <c r="DQ106" s="44">
        <v>12.215310000000001</v>
      </c>
      <c r="DR106" s="44">
        <v>11.13547</v>
      </c>
      <c r="DS106" s="44">
        <v>12.778</v>
      </c>
      <c r="DT106" s="44">
        <f>10604.46/1000</f>
        <v>10.60446</v>
      </c>
      <c r="DU106" s="44">
        <v>12.18</v>
      </c>
      <c r="DV106" s="44">
        <v>10.6</v>
      </c>
      <c r="DW106" s="44">
        <v>10.86</v>
      </c>
      <c r="DX106" s="44">
        <v>9.86</v>
      </c>
      <c r="DY106" s="44">
        <v>22.652000000000001</v>
      </c>
      <c r="DZ106" s="44">
        <f>26829.73/1000</f>
        <v>26.829729999999998</v>
      </c>
      <c r="EA106" s="44">
        <f>18699.91/1000</f>
        <v>18.699909999999999</v>
      </c>
      <c r="EB106" s="44">
        <f>24758.2/1000</f>
        <v>24.758200000000002</v>
      </c>
      <c r="EC106" s="44">
        <f>18298.02/1000</f>
        <v>18.298020000000001</v>
      </c>
      <c r="ED106" s="44">
        <f>17791.7/1000</f>
        <v>17.791700000000002</v>
      </c>
      <c r="EE106" s="44">
        <f>20915.63/1000</f>
        <v>20.91563</v>
      </c>
      <c r="EF106" s="44">
        <f>22094.69/1000</f>
        <v>22.09469</v>
      </c>
      <c r="EG106" s="44">
        <f>24020.03/1000</f>
        <v>24.020029999999998</v>
      </c>
      <c r="EH106" s="44">
        <f>25421.49/1000</f>
        <v>25.421490000000002</v>
      </c>
      <c r="EI106" s="44">
        <f>21747.36/1000</f>
        <v>21.74736</v>
      </c>
      <c r="EJ106" s="44">
        <f>20727.98/1000</f>
        <v>20.727979999999999</v>
      </c>
      <c r="EK106" s="44">
        <f>21462.59/1000</f>
        <v>21.462589999999999</v>
      </c>
      <c r="EL106" s="44">
        <f>19777.34/1000</f>
        <v>19.777339999999999</v>
      </c>
      <c r="EM106" s="44">
        <f>20655.97/1000</f>
        <v>20.65597</v>
      </c>
      <c r="EN106" s="44">
        <f>18195.65/1000</f>
        <v>18.195650000000001</v>
      </c>
      <c r="EO106" s="44">
        <f>17547.32/1000</f>
        <v>17.547319999999999</v>
      </c>
      <c r="EP106" s="44">
        <f>16807.1/1000</f>
        <v>16.807099999999998</v>
      </c>
      <c r="EQ106" s="44">
        <f>18350.97/1000</f>
        <v>18.35097</v>
      </c>
      <c r="ER106" s="44">
        <f>17654.28/1000</f>
        <v>17.65428</v>
      </c>
      <c r="ES106" s="44">
        <f>16623.23/1000</f>
        <v>16.62323</v>
      </c>
      <c r="ET106" s="44">
        <f>17266.67/1000</f>
        <v>17.266669999999998</v>
      </c>
      <c r="EU106" s="44">
        <f>16418.64/1000</f>
        <v>16.41864</v>
      </c>
      <c r="EV106" s="44">
        <f>16898.4/1000</f>
        <v>16.898400000000002</v>
      </c>
      <c r="EW106" s="44">
        <f>16669.57/1000</f>
        <v>16.66957</v>
      </c>
      <c r="EX106" s="44">
        <f>14873.7/1000</f>
        <v>14.873700000000001</v>
      </c>
      <c r="EY106" s="44">
        <f>16330.78/1000</f>
        <v>16.330780000000001</v>
      </c>
      <c r="EZ106" s="44">
        <f>15423.99/1000</f>
        <v>15.42399</v>
      </c>
      <c r="FA106" s="44">
        <f>16322.76/1000</f>
        <v>16.322759999999999</v>
      </c>
      <c r="FB106" s="44">
        <v>15.76355</v>
      </c>
      <c r="FC106" s="44">
        <v>19.08249</v>
      </c>
      <c r="FD106" s="44">
        <f>16791/1000</f>
        <v>16.791</v>
      </c>
      <c r="FE106" s="44">
        <f>14823.42/1000</f>
        <v>14.82342</v>
      </c>
      <c r="FF106" s="44">
        <f>16460.04/1000</f>
        <v>16.460039999999999</v>
      </c>
      <c r="FG106" s="44">
        <f>14126.29/1000</f>
        <v>14.126290000000001</v>
      </c>
      <c r="FH106" s="44">
        <f>15629.18/1000</f>
        <v>15.62918</v>
      </c>
      <c r="FI106" s="44">
        <f>14749.75/1000</f>
        <v>14.749750000000001</v>
      </c>
      <c r="FJ106" s="44">
        <f>4422.12/1000</f>
        <v>4.4221199999999996</v>
      </c>
      <c r="FK106" s="44">
        <f>3827.41/1000</f>
        <v>3.82741</v>
      </c>
      <c r="FL106" s="44" t="s">
        <v>87</v>
      </c>
      <c r="FM106" s="44" t="s">
        <v>87</v>
      </c>
      <c r="FN106" s="44" t="s">
        <v>87</v>
      </c>
      <c r="FO106" s="44">
        <f>4740.12/1000</f>
        <v>4.7401200000000001</v>
      </c>
      <c r="FP106" s="44">
        <f>4385.96/1000</f>
        <v>4.3859599999999999</v>
      </c>
      <c r="FQ106" s="44">
        <f>4834.78/1000</f>
        <v>4.8347799999999994</v>
      </c>
      <c r="FR106" s="44">
        <f>4440.08/1000</f>
        <v>4.44008</v>
      </c>
      <c r="FS106" s="44">
        <f>4476.39/1000</f>
        <v>4.4763900000000003</v>
      </c>
      <c r="FT106" s="44">
        <f>4583.75/1000</f>
        <v>4.5837500000000002</v>
      </c>
      <c r="FU106" s="44">
        <f>4248/1000</f>
        <v>4.2480000000000002</v>
      </c>
      <c r="FV106" s="44">
        <f>3944.38/1000</f>
        <v>3.9443800000000002</v>
      </c>
      <c r="FW106" s="44">
        <f>4410.07/1000</f>
        <v>4.4100699999999993</v>
      </c>
      <c r="FX106" s="44">
        <f>4030.1/1000</f>
        <v>4.0301</v>
      </c>
      <c r="FY106" s="44">
        <f>4382.57/1000</f>
        <v>4.3825699999999994</v>
      </c>
      <c r="FZ106" s="44">
        <f>4174.58/1000</f>
        <v>4.1745799999999997</v>
      </c>
      <c r="GA106" s="44">
        <f>4438.3/1000</f>
        <v>4.4382999999999999</v>
      </c>
      <c r="GB106" s="44">
        <f>4938.98/1000</f>
        <v>4.9389799999999999</v>
      </c>
      <c r="GC106" s="44">
        <f>4872.3/1000</f>
        <v>4.8723000000000001</v>
      </c>
      <c r="GD106" s="44">
        <f>4800.06/1000</f>
        <v>4.8000600000000002</v>
      </c>
      <c r="GE106" s="44">
        <v>4255.6400000000003</v>
      </c>
      <c r="GF106" s="44">
        <v>4523.8900000000003</v>
      </c>
      <c r="GG106" s="44">
        <v>4356.33</v>
      </c>
      <c r="GH106" s="44">
        <v>4359.7700000000004</v>
      </c>
      <c r="GI106" s="44">
        <v>5215.32</v>
      </c>
      <c r="GJ106" s="44">
        <v>4643.8100000000004</v>
      </c>
      <c r="GK106" s="44">
        <v>4887.54</v>
      </c>
      <c r="GL106" s="44">
        <v>5333.11</v>
      </c>
      <c r="GM106" s="44">
        <v>6431.96</v>
      </c>
      <c r="GN106" s="44">
        <v>5802.5</v>
      </c>
      <c r="GO106" s="44">
        <v>5880.04</v>
      </c>
      <c r="GP106" s="44">
        <v>5895.78</v>
      </c>
      <c r="GQ106" s="44">
        <v>6286.14</v>
      </c>
      <c r="GR106" s="44">
        <v>5992</v>
      </c>
      <c r="GS106" s="44">
        <v>6038.53</v>
      </c>
      <c r="GT106" s="44" t="s">
        <v>105</v>
      </c>
      <c r="GU106" s="44">
        <v>5416.59</v>
      </c>
      <c r="GV106" s="44">
        <v>4608.72</v>
      </c>
      <c r="GW106" s="44">
        <v>5182.12</v>
      </c>
      <c r="GX106" s="44">
        <v>5131.74</v>
      </c>
      <c r="GY106" s="44">
        <v>5634.68</v>
      </c>
      <c r="GZ106" s="44">
        <v>6197.16</v>
      </c>
      <c r="HA106" s="44">
        <v>6315.01</v>
      </c>
      <c r="HB106" s="44">
        <v>5840.62</v>
      </c>
      <c r="HC106" s="44">
        <v>5942.53</v>
      </c>
      <c r="HD106" s="44">
        <v>5928.06</v>
      </c>
      <c r="HE106" s="44">
        <v>6117.82</v>
      </c>
      <c r="HF106" s="44">
        <v>8530</v>
      </c>
      <c r="HG106" s="44">
        <v>7820</v>
      </c>
      <c r="HH106" s="44">
        <v>6433.24</v>
      </c>
      <c r="HI106" s="44">
        <v>6179.88</v>
      </c>
      <c r="HJ106" s="44">
        <v>7020.19</v>
      </c>
      <c r="HK106" s="44">
        <v>8404.51</v>
      </c>
      <c r="HL106" s="44">
        <v>8811.85</v>
      </c>
      <c r="HM106" s="44">
        <v>7425.74</v>
      </c>
      <c r="HN106" s="44">
        <v>7145.85</v>
      </c>
      <c r="HO106" s="44">
        <v>6711.14</v>
      </c>
      <c r="HP106" s="44">
        <v>7007.3</v>
      </c>
      <c r="HQ106" s="44">
        <v>6137</v>
      </c>
      <c r="HR106" s="44">
        <v>5564</v>
      </c>
      <c r="HS106" s="44">
        <v>6198</v>
      </c>
      <c r="HT106" s="44">
        <v>6225.8</v>
      </c>
      <c r="HU106" s="44">
        <v>4562</v>
      </c>
      <c r="HV106" s="44">
        <v>6567.4</v>
      </c>
      <c r="HW106" s="44">
        <v>6812.05</v>
      </c>
      <c r="HX106" s="44">
        <v>7335.4</v>
      </c>
      <c r="HY106" s="44">
        <v>6507.85</v>
      </c>
      <c r="HZ106" s="44">
        <v>6344.9</v>
      </c>
      <c r="IA106" s="44">
        <v>6559.1</v>
      </c>
      <c r="IB106" s="44">
        <v>6408.05</v>
      </c>
      <c r="IC106" s="44">
        <v>6676.51</v>
      </c>
      <c r="ID106" s="44">
        <v>6766.9</v>
      </c>
      <c r="IE106" s="44">
        <v>7637.8289999999997</v>
      </c>
      <c r="IF106" s="44">
        <v>6469.2670000000007</v>
      </c>
      <c r="IG106" s="44">
        <v>6148.88</v>
      </c>
      <c r="IH106" s="44">
        <v>7696.7330000000002</v>
      </c>
      <c r="II106" s="44">
        <v>7813.47</v>
      </c>
      <c r="IJ106" s="44">
        <v>8467.4699999999993</v>
      </c>
      <c r="IK106" s="43">
        <v>7649.07</v>
      </c>
      <c r="IL106" s="43">
        <v>7674.86</v>
      </c>
      <c r="IM106" s="44" t="s">
        <v>86</v>
      </c>
      <c r="IN106" s="44" t="s">
        <v>86</v>
      </c>
      <c r="IO106" s="43">
        <v>6464.4539999999997</v>
      </c>
      <c r="IP106" s="43">
        <v>7756.1890000000003</v>
      </c>
      <c r="IQ106" s="43">
        <v>7880.893</v>
      </c>
      <c r="IR106" s="43">
        <v>8574.9680000000008</v>
      </c>
      <c r="IS106" s="43">
        <v>8047.2579999999998</v>
      </c>
      <c r="IT106" s="43">
        <v>4044.94</v>
      </c>
      <c r="IU106" s="43">
        <v>9757.67</v>
      </c>
      <c r="IV106" s="43">
        <v>9123.85</v>
      </c>
      <c r="IW106" s="43">
        <v>8825.85</v>
      </c>
      <c r="IX106" s="43">
        <v>7694.0519999999997</v>
      </c>
      <c r="IY106" s="43">
        <v>7694.0519999999997</v>
      </c>
      <c r="IZ106" s="43">
        <v>9661.56</v>
      </c>
      <c r="JA106" s="43">
        <v>8379.4599999999991</v>
      </c>
      <c r="JB106" s="43">
        <v>7730.65</v>
      </c>
      <c r="JC106" s="43">
        <v>8500.83</v>
      </c>
      <c r="JD106" s="43">
        <v>8500.83</v>
      </c>
      <c r="JE106" s="43">
        <v>8675.41</v>
      </c>
      <c r="JF106" s="43">
        <v>9119.7199999999993</v>
      </c>
      <c r="JG106" s="43">
        <v>10185.91</v>
      </c>
      <c r="JH106" s="43">
        <v>10383.870000000001</v>
      </c>
      <c r="JI106" s="43">
        <v>8235.9500000000007</v>
      </c>
      <c r="JJ106" s="43">
        <v>8662.9699999999993</v>
      </c>
      <c r="JK106" s="43">
        <v>8517.64</v>
      </c>
      <c r="JL106" s="43">
        <v>7976.97</v>
      </c>
      <c r="JM106" s="43"/>
      <c r="JN106" s="43"/>
      <c r="JO106" s="43"/>
      <c r="JP106" s="43">
        <v>16608.669999999998</v>
      </c>
      <c r="JQ106" s="43">
        <v>24922</v>
      </c>
      <c r="JR106" s="43">
        <v>14154.97</v>
      </c>
      <c r="JS106" s="43">
        <v>15081.14</v>
      </c>
      <c r="JT106" s="43">
        <v>13999.58</v>
      </c>
      <c r="JU106" s="43">
        <v>17252.439999999999</v>
      </c>
      <c r="JV106" s="43">
        <v>13833.99</v>
      </c>
      <c r="JW106" s="43">
        <v>10241.546</v>
      </c>
      <c r="JX106" s="43">
        <v>9945.7355887310023</v>
      </c>
      <c r="JY106" s="43">
        <v>10240.221</v>
      </c>
      <c r="JZ106" s="43">
        <v>9322.4609999999993</v>
      </c>
      <c r="KA106" s="43">
        <v>10560.666999999999</v>
      </c>
      <c r="KB106" s="43">
        <v>8948.4030000000002</v>
      </c>
      <c r="KC106" s="43">
        <v>9295.9809999999998</v>
      </c>
      <c r="KD106" s="43">
        <v>10093.870000000001</v>
      </c>
      <c r="KE106" s="43">
        <v>10862.624</v>
      </c>
      <c r="KF106" s="43">
        <v>10542.272000000001</v>
      </c>
      <c r="KG106" s="43">
        <v>10046.687</v>
      </c>
      <c r="KH106" s="43">
        <v>9272.9220000000005</v>
      </c>
      <c r="KI106" s="43">
        <v>10668.268</v>
      </c>
      <c r="KJ106" s="43">
        <v>11615.285</v>
      </c>
      <c r="KK106" s="43">
        <v>12406.157999999999</v>
      </c>
      <c r="KL106" s="43">
        <v>11410.382</v>
      </c>
      <c r="KM106" s="43">
        <v>12730.575999999999</v>
      </c>
      <c r="KN106" s="43">
        <v>11560.343999999999</v>
      </c>
      <c r="KO106" s="43">
        <v>12604</v>
      </c>
      <c r="KP106" s="43">
        <v>13888.407999999999</v>
      </c>
      <c r="KQ106" s="43">
        <v>13925.759</v>
      </c>
      <c r="KR106" s="43">
        <v>14460.6957</v>
      </c>
      <c r="KS106" s="43">
        <v>14072.845599999999</v>
      </c>
      <c r="KT106" s="43">
        <v>13899.484</v>
      </c>
      <c r="KU106" s="43">
        <v>16501.826000000001</v>
      </c>
      <c r="KV106" s="43">
        <v>18661.193360000001</v>
      </c>
      <c r="KW106" s="43">
        <v>28413.449570000001</v>
      </c>
      <c r="KX106" s="43">
        <v>37977.29019</v>
      </c>
      <c r="KY106" s="43">
        <v>29492.323579999997</v>
      </c>
      <c r="KZ106" s="43">
        <v>23530.297160000002</v>
      </c>
      <c r="LA106" s="43">
        <v>24486.986339999999</v>
      </c>
      <c r="LB106" s="43">
        <v>29455.870179999998</v>
      </c>
      <c r="LC106" s="43">
        <v>32820.225200000001</v>
      </c>
      <c r="LD106" s="43">
        <v>21716.191460000002</v>
      </c>
      <c r="LE106" s="43">
        <v>22555.509699999999</v>
      </c>
      <c r="LF106" s="43">
        <v>22304.466979999997</v>
      </c>
      <c r="LG106" s="43">
        <v>21495.243539999999</v>
      </c>
      <c r="LH106" s="43">
        <v>22118.340073333333</v>
      </c>
      <c r="LI106" s="43">
        <v>28198.26586</v>
      </c>
      <c r="LJ106" s="43">
        <v>22118.340073333333</v>
      </c>
      <c r="LK106" s="43">
        <v>18973.599999999999</v>
      </c>
      <c r="LL106" s="43">
        <v>15123.2165</v>
      </c>
      <c r="LM106" s="43">
        <v>15448.453130000002</v>
      </c>
      <c r="LN106" s="43">
        <v>17397.198499999999</v>
      </c>
      <c r="LO106" s="43">
        <v>17287.646100000002</v>
      </c>
      <c r="LP106" s="43">
        <v>22180.860499999999</v>
      </c>
      <c r="LQ106" s="43">
        <v>17472.7899</v>
      </c>
      <c r="LR106" s="43">
        <v>18980.432166666669</v>
      </c>
      <c r="LS106" s="43">
        <v>17809.682000000001</v>
      </c>
      <c r="LT106" s="43">
        <v>17818.040800000002</v>
      </c>
      <c r="LU106" s="43"/>
      <c r="LV106" s="43"/>
      <c r="LW106" s="43"/>
      <c r="LX106" s="43"/>
    </row>
    <row r="107" spans="1:336" s="29" customFormat="1" x14ac:dyDescent="0.3">
      <c r="A107" s="33" t="s">
        <v>160</v>
      </c>
      <c r="B107" s="50"/>
      <c r="C107" s="43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  <c r="AQ107" s="44"/>
      <c r="AR107" s="44"/>
      <c r="AS107" s="4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  <c r="BF107" s="44"/>
      <c r="BG107" s="44"/>
      <c r="BH107" s="44"/>
      <c r="BI107" s="44"/>
      <c r="BJ107" s="44"/>
      <c r="BK107" s="44"/>
      <c r="BL107" s="44"/>
      <c r="BM107" s="44"/>
      <c r="BN107" s="44"/>
      <c r="BO107" s="44"/>
      <c r="BP107" s="44"/>
      <c r="BQ107" s="44"/>
      <c r="BR107" s="44"/>
      <c r="BS107" s="44"/>
      <c r="BT107" s="44"/>
      <c r="BU107" s="44"/>
      <c r="BV107" s="44"/>
      <c r="BW107" s="44"/>
      <c r="BX107" s="44"/>
      <c r="BY107" s="44"/>
      <c r="BZ107" s="44"/>
      <c r="CA107" s="44"/>
      <c r="CB107" s="44"/>
      <c r="CC107" s="44"/>
      <c r="CD107" s="44"/>
      <c r="CE107" s="44"/>
      <c r="CF107" s="44"/>
      <c r="CG107" s="44"/>
      <c r="CH107" s="44"/>
      <c r="CI107" s="44"/>
      <c r="CJ107" s="44"/>
      <c r="CK107" s="44"/>
      <c r="CL107" s="44"/>
      <c r="CM107" s="44"/>
      <c r="CN107" s="44"/>
      <c r="CO107" s="44"/>
      <c r="CP107" s="44"/>
      <c r="CQ107" s="44"/>
      <c r="CR107" s="44"/>
      <c r="CS107" s="44"/>
      <c r="CT107" s="44"/>
      <c r="CU107" s="44"/>
      <c r="CV107" s="44"/>
      <c r="CW107" s="44"/>
      <c r="CX107" s="44"/>
      <c r="CY107" s="44"/>
      <c r="CZ107" s="44"/>
      <c r="DA107" s="44"/>
      <c r="DB107" s="44"/>
      <c r="DC107" s="44"/>
      <c r="DD107" s="44"/>
      <c r="DE107" s="44"/>
      <c r="DF107" s="44"/>
      <c r="DG107" s="44"/>
      <c r="DH107" s="44"/>
      <c r="DI107" s="44"/>
      <c r="DJ107" s="44"/>
      <c r="DK107" s="44"/>
      <c r="DL107" s="44"/>
      <c r="DM107" s="44"/>
      <c r="DN107" s="44"/>
      <c r="DO107" s="44"/>
      <c r="DP107" s="44"/>
      <c r="DQ107" s="44"/>
      <c r="DR107" s="44"/>
      <c r="DS107" s="44"/>
      <c r="DT107" s="44"/>
      <c r="DU107" s="44"/>
      <c r="DV107" s="44"/>
      <c r="DW107" s="44"/>
      <c r="DX107" s="44"/>
      <c r="DY107" s="44"/>
      <c r="DZ107" s="44"/>
      <c r="EA107" s="44"/>
      <c r="EB107" s="44"/>
      <c r="EC107" s="44"/>
      <c r="ED107" s="44"/>
      <c r="EE107" s="44"/>
      <c r="EF107" s="44"/>
      <c r="EG107" s="44"/>
      <c r="EH107" s="44"/>
      <c r="EI107" s="44"/>
      <c r="EJ107" s="44"/>
      <c r="EK107" s="44"/>
      <c r="EL107" s="44"/>
      <c r="EM107" s="44"/>
      <c r="EN107" s="44"/>
      <c r="EO107" s="44"/>
      <c r="EP107" s="44"/>
      <c r="EQ107" s="44"/>
      <c r="ER107" s="44"/>
      <c r="ES107" s="44"/>
      <c r="ET107" s="44"/>
      <c r="EU107" s="44"/>
      <c r="EV107" s="44"/>
      <c r="EW107" s="44"/>
      <c r="EX107" s="44"/>
      <c r="EY107" s="44"/>
      <c r="EZ107" s="44"/>
      <c r="FA107" s="44"/>
      <c r="FB107" s="44"/>
      <c r="FC107" s="44"/>
      <c r="FD107" s="44"/>
      <c r="FE107" s="44"/>
      <c r="FF107" s="44"/>
      <c r="FG107" s="44"/>
      <c r="FH107" s="44"/>
      <c r="FI107" s="44"/>
      <c r="FJ107" s="44"/>
      <c r="FK107" s="44"/>
      <c r="FL107" s="44"/>
      <c r="FM107" s="44"/>
      <c r="FN107" s="44"/>
      <c r="FO107" s="44"/>
      <c r="FP107" s="44"/>
      <c r="FQ107" s="44"/>
      <c r="FR107" s="44"/>
      <c r="FS107" s="44"/>
      <c r="FT107" s="44"/>
      <c r="FU107" s="44"/>
      <c r="FV107" s="44"/>
      <c r="FW107" s="44"/>
      <c r="FX107" s="44"/>
      <c r="FY107" s="44"/>
      <c r="FZ107" s="44"/>
      <c r="GA107" s="44"/>
      <c r="GB107" s="44"/>
      <c r="GC107" s="44"/>
      <c r="GD107" s="44"/>
      <c r="GE107" s="44"/>
      <c r="GF107" s="44"/>
      <c r="GG107" s="44"/>
      <c r="GH107" s="44"/>
      <c r="GI107" s="44"/>
      <c r="GJ107" s="44"/>
      <c r="GK107" s="44"/>
      <c r="GL107" s="44"/>
      <c r="GM107" s="44"/>
      <c r="GN107" s="44"/>
      <c r="GO107" s="44"/>
      <c r="GP107" s="44"/>
      <c r="GQ107" s="44"/>
      <c r="GR107" s="44"/>
      <c r="GS107" s="44"/>
      <c r="GT107" s="44"/>
      <c r="GU107" s="44"/>
      <c r="GV107" s="44"/>
      <c r="GW107" s="44"/>
      <c r="GX107" s="44"/>
      <c r="GY107" s="44"/>
      <c r="GZ107" s="44"/>
      <c r="HA107" s="44"/>
      <c r="HB107" s="44"/>
      <c r="HC107" s="44"/>
      <c r="HD107" s="44"/>
      <c r="HE107" s="44"/>
      <c r="HF107" s="44"/>
      <c r="HG107" s="44"/>
      <c r="HH107" s="44"/>
      <c r="HI107" s="44"/>
      <c r="HJ107" s="44"/>
      <c r="HK107" s="44"/>
      <c r="HL107" s="44"/>
      <c r="HM107" s="44"/>
      <c r="HN107" s="44"/>
      <c r="HO107" s="44"/>
      <c r="HP107" s="44"/>
      <c r="HQ107" s="44"/>
      <c r="HR107" s="44"/>
      <c r="HS107" s="44"/>
      <c r="HT107" s="44"/>
      <c r="HU107" s="44"/>
      <c r="HV107" s="44"/>
      <c r="HW107" s="44"/>
      <c r="HX107" s="44"/>
      <c r="HY107" s="44"/>
      <c r="HZ107" s="44"/>
      <c r="IA107" s="44"/>
      <c r="IB107" s="44"/>
      <c r="IC107" s="44"/>
      <c r="ID107" s="44"/>
      <c r="IE107" s="44"/>
      <c r="IF107" s="44"/>
      <c r="IG107" s="44"/>
      <c r="IH107" s="44"/>
      <c r="II107" s="44"/>
      <c r="IJ107" s="44"/>
      <c r="IK107" s="43"/>
      <c r="IL107" s="43"/>
      <c r="IM107" s="43"/>
      <c r="IN107" s="43">
        <v>4949.2</v>
      </c>
      <c r="IO107" s="43">
        <v>1527.3720000000001</v>
      </c>
      <c r="IP107" s="43">
        <v>1885.3820000000001</v>
      </c>
      <c r="IQ107" s="43">
        <v>1800.193</v>
      </c>
      <c r="IR107" s="44" t="s">
        <v>93</v>
      </c>
      <c r="IS107" s="44" t="s">
        <v>93</v>
      </c>
      <c r="IT107" s="44">
        <v>2423.6999999999998</v>
      </c>
      <c r="IU107" s="44">
        <v>1766.77</v>
      </c>
      <c r="IV107" s="44"/>
      <c r="IW107" s="44"/>
      <c r="IX107" s="44"/>
      <c r="IY107" s="44">
        <v>1884.9481899999998</v>
      </c>
      <c r="IZ107" s="44">
        <v>2382.5700000000002</v>
      </c>
      <c r="JA107" s="44">
        <v>2324</v>
      </c>
      <c r="JB107" s="44">
        <v>1737.91</v>
      </c>
      <c r="JC107" s="44">
        <v>1583.09</v>
      </c>
      <c r="JD107" s="44">
        <v>2133.85</v>
      </c>
      <c r="JE107" s="44">
        <v>1912.16</v>
      </c>
      <c r="JF107" s="44">
        <v>1440.3</v>
      </c>
      <c r="JG107" s="44">
        <v>1534.72</v>
      </c>
      <c r="JH107" s="44">
        <v>1676.34</v>
      </c>
      <c r="JI107" s="44">
        <v>1635.18</v>
      </c>
      <c r="JJ107" s="44">
        <v>2003.11</v>
      </c>
      <c r="JK107" s="44">
        <v>3081.9</v>
      </c>
      <c r="JL107" s="44">
        <v>1860.23</v>
      </c>
      <c r="JM107" s="44">
        <v>947.08</v>
      </c>
      <c r="JN107" s="44">
        <v>1998.5129999999999</v>
      </c>
      <c r="JO107" s="44">
        <v>1900.34</v>
      </c>
      <c r="JP107" s="44">
        <v>1879.41</v>
      </c>
      <c r="JQ107" s="44">
        <v>2128.42</v>
      </c>
      <c r="JR107" s="44">
        <v>1230.46</v>
      </c>
      <c r="JS107" s="44">
        <v>1472.6</v>
      </c>
      <c r="JT107" s="44">
        <v>1077.5899999999999</v>
      </c>
      <c r="JU107" s="44">
        <v>995.10500000000002</v>
      </c>
      <c r="JV107" s="44">
        <v>1428.87</v>
      </c>
      <c r="JW107" s="44">
        <v>1121.5060000000001</v>
      </c>
      <c r="JX107" s="44">
        <v>1962.463</v>
      </c>
      <c r="JY107" s="44">
        <v>1919.2080000000001</v>
      </c>
      <c r="JZ107" s="44">
        <v>1960.7329999999999</v>
      </c>
      <c r="KA107" s="44">
        <v>1204.0119999999999</v>
      </c>
      <c r="KB107" s="44">
        <v>1078.4100000000001</v>
      </c>
      <c r="KC107" s="44">
        <v>1361.3910000000001</v>
      </c>
      <c r="KD107" s="44">
        <v>1976.819</v>
      </c>
      <c r="KE107" s="44">
        <v>1334.6959999999999</v>
      </c>
      <c r="KF107" s="44">
        <v>1646.4480000000001</v>
      </c>
      <c r="KG107" s="44">
        <v>902.30799999999999</v>
      </c>
      <c r="KH107" s="44">
        <v>1036.8430000000001</v>
      </c>
      <c r="KI107" s="147">
        <v>56.1</v>
      </c>
      <c r="KJ107" s="44">
        <v>902.06399999999996</v>
      </c>
      <c r="KK107" s="44">
        <v>937.98599999999999</v>
      </c>
      <c r="KL107" s="44">
        <v>939.923</v>
      </c>
      <c r="KM107" s="44">
        <v>1089.8720000000001</v>
      </c>
      <c r="KN107" s="44">
        <v>1518.8810000000001</v>
      </c>
      <c r="KO107" s="44">
        <v>2279.15</v>
      </c>
      <c r="KP107" s="44">
        <v>1201.5429999999999</v>
      </c>
      <c r="KQ107" s="44">
        <v>1605.0550000000001</v>
      </c>
      <c r="KR107" s="44">
        <v>1430.1579999999999</v>
      </c>
      <c r="KS107" s="44">
        <v>1454.498</v>
      </c>
      <c r="KT107" s="44">
        <v>1698.8140000000001</v>
      </c>
      <c r="KU107" s="44">
        <v>1765.703</v>
      </c>
      <c r="KV107" s="44">
        <v>2012.933</v>
      </c>
      <c r="KW107" s="146">
        <v>1318.7919999999999</v>
      </c>
      <c r="KX107" s="146">
        <v>1398.519</v>
      </c>
      <c r="KY107" s="146">
        <v>1891.53</v>
      </c>
      <c r="KZ107" s="146">
        <v>2194.0749999999998</v>
      </c>
      <c r="LA107" s="146">
        <v>2191.259</v>
      </c>
      <c r="LB107" s="146">
        <v>2138.9299999999998</v>
      </c>
      <c r="LC107" s="146">
        <v>819.41600000000005</v>
      </c>
      <c r="LD107" s="146">
        <v>1354.921</v>
      </c>
      <c r="LE107" s="146">
        <v>1343.222</v>
      </c>
      <c r="LF107" s="146">
        <v>1691.789</v>
      </c>
      <c r="LG107" s="146">
        <v>1717.453</v>
      </c>
      <c r="LH107" s="146">
        <v>2302.8200000000002</v>
      </c>
      <c r="LI107" s="146">
        <v>1582.6189999999999</v>
      </c>
      <c r="LJ107" s="146">
        <v>1488.2470000000001</v>
      </c>
      <c r="LK107" s="146">
        <v>1745.9135000000001</v>
      </c>
      <c r="LL107" s="146">
        <v>1384.4949999999999</v>
      </c>
      <c r="LM107" s="146">
        <v>1759.3040000000001</v>
      </c>
      <c r="LN107" s="146">
        <v>1922.8720000000001</v>
      </c>
      <c r="LO107" s="146">
        <v>1381.2028</v>
      </c>
      <c r="LP107" s="146">
        <v>1890.675</v>
      </c>
      <c r="LQ107" s="146">
        <v>1892.3746000000001</v>
      </c>
      <c r="LR107" s="146">
        <v>1990.088</v>
      </c>
      <c r="LS107" s="146">
        <v>2194.3397099999997</v>
      </c>
      <c r="LT107" s="146">
        <v>2629.0727599999996</v>
      </c>
      <c r="LU107" s="43"/>
      <c r="LV107" s="43"/>
      <c r="LW107" s="43"/>
      <c r="LX107" s="43"/>
    </row>
    <row r="108" spans="1:336" s="53" customFormat="1" ht="16.2" thickBot="1" x14ac:dyDescent="0.35">
      <c r="A108" s="51"/>
      <c r="B108" s="52"/>
    </row>
    <row r="109" spans="1:336" s="29" customFormat="1" x14ac:dyDescent="0.3">
      <c r="A109" s="33"/>
      <c r="B109" s="33"/>
    </row>
    <row r="110" spans="1:336" s="29" customFormat="1" x14ac:dyDescent="0.3">
      <c r="A110" s="33" t="s">
        <v>41</v>
      </c>
      <c r="B110" s="33"/>
      <c r="DR110" s="29" t="s">
        <v>84</v>
      </c>
    </row>
    <row r="111" spans="1:336" s="29" customFormat="1" x14ac:dyDescent="0.3">
      <c r="A111" s="33" t="s">
        <v>106</v>
      </c>
      <c r="B111" s="33"/>
    </row>
    <row r="112" spans="1:336" s="29" customFormat="1" x14ac:dyDescent="0.3">
      <c r="A112" s="33" t="s">
        <v>107</v>
      </c>
      <c r="B112" s="33"/>
    </row>
    <row r="113" spans="1:2" s="29" customFormat="1" x14ac:dyDescent="0.3">
      <c r="A113" s="33" t="s">
        <v>108</v>
      </c>
      <c r="B113" s="33"/>
    </row>
    <row r="114" spans="1:2" s="29" customFormat="1" x14ac:dyDescent="0.3">
      <c r="A114" s="33" t="s">
        <v>109</v>
      </c>
      <c r="B114" s="33"/>
    </row>
    <row r="115" spans="1:2" s="29" customFormat="1" x14ac:dyDescent="0.3">
      <c r="A115" s="33" t="s">
        <v>155</v>
      </c>
      <c r="B115" s="33"/>
    </row>
    <row r="116" spans="1:2" s="29" customFormat="1" x14ac:dyDescent="0.3">
      <c r="A116" s="33"/>
      <c r="B116" s="33"/>
    </row>
    <row r="117" spans="1:2" s="29" customFormat="1" x14ac:dyDescent="0.3">
      <c r="A117" s="33" t="s">
        <v>110</v>
      </c>
      <c r="B117" s="33"/>
    </row>
    <row r="118" spans="1:2" s="29" customFormat="1" x14ac:dyDescent="0.3">
      <c r="A118" s="33"/>
      <c r="B118" s="33"/>
    </row>
    <row r="119" spans="1:2" s="29" customFormat="1" x14ac:dyDescent="0.3">
      <c r="A119" s="33" t="s">
        <v>111</v>
      </c>
      <c r="B119" s="33"/>
    </row>
  </sheetData>
  <hyperlinks>
    <hyperlink ref="A1" location="'Table of Contents'!A1" display="Back to the Table of Contents" xr:uid="{00000000-0004-0000-0100-000000000000}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K114"/>
  <sheetViews>
    <sheetView zoomScale="90" zoomScaleNormal="90" workbookViewId="0">
      <pane xSplit="1" ySplit="4" topLeftCell="CS5" activePane="bottomRight" state="frozen"/>
      <selection pane="topRight" activeCell="B1" sqref="B1"/>
      <selection pane="bottomLeft" activeCell="A4" sqref="A4"/>
      <selection pane="bottomRight" activeCell="DF10" sqref="DF10"/>
    </sheetView>
  </sheetViews>
  <sheetFormatPr defaultColWidth="9.109375" defaultRowHeight="15.6" x14ac:dyDescent="0.3"/>
  <cols>
    <col min="1" max="1" width="36.5546875" style="2" customWidth="1"/>
    <col min="2" max="19" width="10.6640625" style="2" customWidth="1"/>
    <col min="20" max="20" width="11.6640625" style="2" customWidth="1"/>
    <col min="21" max="22" width="10.6640625" style="2" customWidth="1"/>
    <col min="23" max="24" width="11.88671875" style="2" bestFit="1" customWidth="1"/>
    <col min="25" max="40" width="10.6640625" style="2" customWidth="1"/>
    <col min="41" max="41" width="11.88671875" style="2" bestFit="1" customWidth="1"/>
    <col min="42" max="43" width="10.6640625" style="2" customWidth="1"/>
    <col min="44" max="44" width="11.88671875" style="2" bestFit="1" customWidth="1"/>
    <col min="45" max="76" width="10.6640625" style="2" customWidth="1"/>
    <col min="77" max="81" width="9.109375" style="2" customWidth="1"/>
    <col min="82" max="82" width="10.109375" style="2" bestFit="1" customWidth="1"/>
    <col min="83" max="84" width="9.109375" style="28"/>
    <col min="85" max="85" width="10.44140625" style="28" bestFit="1" customWidth="1"/>
    <col min="86" max="86" width="9.109375" style="28"/>
    <col min="87" max="87" width="9.109375" style="28" customWidth="1"/>
    <col min="88" max="89" width="10.109375" style="28" bestFit="1" customWidth="1"/>
    <col min="90" max="91" width="9.109375" style="28"/>
    <col min="92" max="92" width="10.109375" style="28" bestFit="1" customWidth="1"/>
    <col min="93" max="97" width="9.109375" style="28"/>
    <col min="98" max="98" width="10.109375" style="28" bestFit="1" customWidth="1"/>
    <col min="99" max="99" width="9.109375" style="28"/>
    <col min="100" max="100" width="10" style="28" customWidth="1"/>
    <col min="101" max="102" width="9.109375" style="28"/>
    <col min="103" max="111" width="10.109375" style="28" bestFit="1" customWidth="1"/>
    <col min="112" max="112" width="14.5546875" style="28" bestFit="1" customWidth="1"/>
    <col min="113" max="113" width="12.6640625" style="28" bestFit="1" customWidth="1"/>
    <col min="114" max="115" width="14.5546875" style="28" bestFit="1" customWidth="1"/>
    <col min="116" max="16384" width="9.109375" style="28"/>
  </cols>
  <sheetData>
    <row r="1" spans="1:111" x14ac:dyDescent="0.3">
      <c r="A1" s="140" t="s">
        <v>182</v>
      </c>
    </row>
    <row r="2" spans="1:111" ht="21" x14ac:dyDescent="0.4">
      <c r="A2" s="127" t="s">
        <v>148</v>
      </c>
      <c r="AH2" s="54"/>
      <c r="AI2" s="54"/>
      <c r="AJ2" s="54"/>
      <c r="AK2" s="54"/>
      <c r="AX2" s="54"/>
      <c r="AY2" s="54"/>
      <c r="AZ2" s="54"/>
      <c r="BA2" s="54"/>
      <c r="BF2" s="54"/>
      <c r="BG2" s="54"/>
      <c r="BH2" s="54"/>
      <c r="BI2" s="54"/>
      <c r="BJ2" s="54"/>
      <c r="BK2" s="54"/>
      <c r="BL2" s="54"/>
      <c r="BM2" s="54"/>
      <c r="BN2" s="3"/>
      <c r="BO2" s="3"/>
      <c r="BP2" s="3"/>
      <c r="BQ2" s="3"/>
      <c r="BR2" s="3"/>
      <c r="BS2" s="3"/>
      <c r="BT2" s="54"/>
      <c r="BU2" s="54"/>
      <c r="BV2" s="54"/>
      <c r="BW2" s="54"/>
      <c r="CE2" s="2"/>
      <c r="CF2" s="2"/>
      <c r="CG2" s="2"/>
    </row>
    <row r="3" spans="1:111" x14ac:dyDescent="0.3">
      <c r="A3" s="55"/>
      <c r="B3" s="55"/>
      <c r="C3" s="55"/>
      <c r="D3" s="55"/>
      <c r="E3" s="55"/>
      <c r="F3" s="55"/>
      <c r="G3" s="55"/>
      <c r="H3" s="55"/>
      <c r="I3" s="55"/>
      <c r="J3" s="55" t="s">
        <v>53</v>
      </c>
      <c r="K3" s="55" t="s">
        <v>54</v>
      </c>
      <c r="L3" s="55" t="s">
        <v>55</v>
      </c>
      <c r="M3" s="55" t="s">
        <v>56</v>
      </c>
      <c r="N3" s="55" t="s">
        <v>53</v>
      </c>
      <c r="O3" s="55" t="s">
        <v>54</v>
      </c>
      <c r="P3" s="55" t="s">
        <v>55</v>
      </c>
      <c r="Q3" s="55" t="s">
        <v>56</v>
      </c>
      <c r="R3" s="55" t="s">
        <v>53</v>
      </c>
      <c r="S3" s="55" t="s">
        <v>54</v>
      </c>
      <c r="T3" s="55" t="s">
        <v>55</v>
      </c>
      <c r="U3" s="55" t="s">
        <v>56</v>
      </c>
      <c r="V3" s="55" t="s">
        <v>53</v>
      </c>
      <c r="W3" s="55" t="s">
        <v>54</v>
      </c>
      <c r="X3" s="55" t="s">
        <v>55</v>
      </c>
      <c r="Y3" s="55" t="s">
        <v>56</v>
      </c>
      <c r="Z3" s="55" t="s">
        <v>53</v>
      </c>
      <c r="AA3" s="55" t="s">
        <v>54</v>
      </c>
      <c r="AB3" s="55" t="s">
        <v>55</v>
      </c>
      <c r="AC3" s="55" t="s">
        <v>56</v>
      </c>
      <c r="AD3" s="55" t="s">
        <v>53</v>
      </c>
      <c r="AE3" s="55" t="s">
        <v>54</v>
      </c>
      <c r="AF3" s="55" t="s">
        <v>55</v>
      </c>
      <c r="AG3" s="55" t="s">
        <v>56</v>
      </c>
      <c r="AH3" s="55" t="s">
        <v>53</v>
      </c>
      <c r="AI3" s="55" t="s">
        <v>54</v>
      </c>
      <c r="AJ3" s="55" t="s">
        <v>55</v>
      </c>
      <c r="AK3" s="55" t="s">
        <v>56</v>
      </c>
      <c r="AL3" s="55" t="s">
        <v>53</v>
      </c>
      <c r="AM3" s="55" t="s">
        <v>54</v>
      </c>
      <c r="AN3" s="55" t="s">
        <v>55</v>
      </c>
      <c r="AO3" s="55" t="s">
        <v>56</v>
      </c>
      <c r="AP3" s="55" t="s">
        <v>53</v>
      </c>
      <c r="AQ3" s="55" t="s">
        <v>54</v>
      </c>
      <c r="AR3" s="55" t="s">
        <v>55</v>
      </c>
      <c r="AS3" s="55" t="s">
        <v>56</v>
      </c>
      <c r="AT3" s="55" t="s">
        <v>53</v>
      </c>
      <c r="AU3" s="55" t="s">
        <v>54</v>
      </c>
      <c r="AV3" s="55" t="s">
        <v>55</v>
      </c>
      <c r="AW3" s="55" t="s">
        <v>56</v>
      </c>
      <c r="AX3" s="55" t="s">
        <v>53</v>
      </c>
      <c r="AY3" s="55" t="s">
        <v>54</v>
      </c>
      <c r="AZ3" s="55" t="s">
        <v>55</v>
      </c>
      <c r="BA3" s="55" t="s">
        <v>56</v>
      </c>
      <c r="BB3" s="55" t="s">
        <v>53</v>
      </c>
      <c r="BC3" s="55" t="s">
        <v>54</v>
      </c>
      <c r="BD3" s="55" t="s">
        <v>55</v>
      </c>
      <c r="BE3" s="55" t="s">
        <v>56</v>
      </c>
      <c r="BF3" s="55" t="s">
        <v>53</v>
      </c>
      <c r="BG3" s="55" t="s">
        <v>54</v>
      </c>
      <c r="BH3" s="55" t="s">
        <v>55</v>
      </c>
      <c r="BI3" s="55" t="s">
        <v>56</v>
      </c>
      <c r="BJ3" s="55" t="s">
        <v>53</v>
      </c>
      <c r="BK3" s="55" t="s">
        <v>54</v>
      </c>
      <c r="BL3" s="55" t="s">
        <v>55</v>
      </c>
      <c r="BM3" s="55" t="s">
        <v>56</v>
      </c>
      <c r="BN3" s="55" t="s">
        <v>53</v>
      </c>
      <c r="BO3" s="55" t="s">
        <v>54</v>
      </c>
      <c r="BP3" s="55" t="s">
        <v>55</v>
      </c>
      <c r="BQ3" s="55" t="s">
        <v>56</v>
      </c>
      <c r="BR3" s="55" t="s">
        <v>53</v>
      </c>
      <c r="BS3" s="55" t="s">
        <v>54</v>
      </c>
      <c r="BT3" s="55" t="s">
        <v>55</v>
      </c>
      <c r="BU3" s="55" t="s">
        <v>56</v>
      </c>
      <c r="BV3" s="55" t="s">
        <v>53</v>
      </c>
      <c r="BW3" s="55" t="s">
        <v>54</v>
      </c>
      <c r="BX3" s="55" t="s">
        <v>55</v>
      </c>
      <c r="BY3" s="55" t="s">
        <v>56</v>
      </c>
      <c r="BZ3" s="55" t="s">
        <v>53</v>
      </c>
      <c r="CA3" s="55" t="s">
        <v>54</v>
      </c>
      <c r="CB3" s="55" t="s">
        <v>55</v>
      </c>
      <c r="CC3" s="55" t="s">
        <v>56</v>
      </c>
      <c r="CD3" s="55" t="s">
        <v>53</v>
      </c>
      <c r="CE3" s="55" t="s">
        <v>54</v>
      </c>
      <c r="CF3" s="55" t="s">
        <v>55</v>
      </c>
      <c r="CG3" s="55" t="s">
        <v>56</v>
      </c>
      <c r="CH3" s="55" t="s">
        <v>53</v>
      </c>
      <c r="CI3" s="55" t="s">
        <v>54</v>
      </c>
      <c r="CJ3" s="55" t="s">
        <v>55</v>
      </c>
      <c r="CK3" s="55" t="s">
        <v>56</v>
      </c>
      <c r="CL3" s="55" t="s">
        <v>53</v>
      </c>
      <c r="CM3" s="55" t="s">
        <v>54</v>
      </c>
      <c r="CN3" s="55" t="s">
        <v>55</v>
      </c>
      <c r="CO3" s="55" t="s">
        <v>56</v>
      </c>
      <c r="CP3" s="55" t="s">
        <v>53</v>
      </c>
      <c r="CQ3" s="55" t="s">
        <v>54</v>
      </c>
      <c r="CR3" s="55" t="s">
        <v>55</v>
      </c>
      <c r="CS3" s="55" t="s">
        <v>56</v>
      </c>
      <c r="CT3" s="55" t="s">
        <v>53</v>
      </c>
      <c r="CU3" s="55" t="s">
        <v>54</v>
      </c>
      <c r="CV3" s="55" t="s">
        <v>55</v>
      </c>
      <c r="CW3" s="55" t="s">
        <v>56</v>
      </c>
      <c r="CX3" s="55" t="s">
        <v>53</v>
      </c>
      <c r="CY3" s="55" t="s">
        <v>54</v>
      </c>
      <c r="CZ3" s="55" t="s">
        <v>55</v>
      </c>
      <c r="DA3" s="55" t="s">
        <v>56</v>
      </c>
      <c r="DB3" s="55" t="s">
        <v>53</v>
      </c>
      <c r="DC3" s="55" t="s">
        <v>54</v>
      </c>
      <c r="DD3" s="55" t="s">
        <v>55</v>
      </c>
      <c r="DE3" s="55" t="s">
        <v>56</v>
      </c>
      <c r="DF3" s="55" t="s">
        <v>53</v>
      </c>
      <c r="DG3" s="55" t="s">
        <v>54</v>
      </c>
    </row>
    <row r="4" spans="1:111" x14ac:dyDescent="0.3">
      <c r="A4" s="56"/>
      <c r="B4" s="57"/>
      <c r="C4" s="57"/>
      <c r="D4" s="57"/>
      <c r="E4" s="57"/>
      <c r="F4" s="57"/>
      <c r="G4" s="57"/>
      <c r="H4" s="57"/>
      <c r="I4" s="57"/>
      <c r="J4" s="57" t="s">
        <v>115</v>
      </c>
      <c r="K4" s="57" t="s">
        <v>115</v>
      </c>
      <c r="L4" s="57" t="s">
        <v>115</v>
      </c>
      <c r="M4" s="57" t="s">
        <v>115</v>
      </c>
      <c r="N4" s="57" t="s">
        <v>116</v>
      </c>
      <c r="O4" s="57" t="s">
        <v>116</v>
      </c>
      <c r="P4" s="57" t="s">
        <v>116</v>
      </c>
      <c r="Q4" s="57" t="s">
        <v>116</v>
      </c>
      <c r="R4" s="57" t="s">
        <v>117</v>
      </c>
      <c r="S4" s="57" t="s">
        <v>117</v>
      </c>
      <c r="T4" s="57" t="s">
        <v>117</v>
      </c>
      <c r="U4" s="57" t="s">
        <v>117</v>
      </c>
      <c r="V4" s="57" t="s">
        <v>118</v>
      </c>
      <c r="W4" s="57" t="s">
        <v>118</v>
      </c>
      <c r="X4" s="57" t="s">
        <v>118</v>
      </c>
      <c r="Y4" s="57" t="s">
        <v>118</v>
      </c>
      <c r="Z4" s="57" t="s">
        <v>79</v>
      </c>
      <c r="AA4" s="57" t="s">
        <v>79</v>
      </c>
      <c r="AB4" s="57" t="s">
        <v>79</v>
      </c>
      <c r="AC4" s="57" t="s">
        <v>79</v>
      </c>
      <c r="AD4" s="57" t="s">
        <v>57</v>
      </c>
      <c r="AE4" s="57" t="s">
        <v>57</v>
      </c>
      <c r="AF4" s="57" t="s">
        <v>57</v>
      </c>
      <c r="AG4" s="57" t="s">
        <v>57</v>
      </c>
      <c r="AH4" s="57" t="s">
        <v>58</v>
      </c>
      <c r="AI4" s="57" t="s">
        <v>58</v>
      </c>
      <c r="AJ4" s="57" t="s">
        <v>58</v>
      </c>
      <c r="AK4" s="57" t="s">
        <v>58</v>
      </c>
      <c r="AL4" s="57" t="s">
        <v>59</v>
      </c>
      <c r="AM4" s="57" t="s">
        <v>59</v>
      </c>
      <c r="AN4" s="57" t="s">
        <v>59</v>
      </c>
      <c r="AO4" s="57" t="s">
        <v>59</v>
      </c>
      <c r="AP4" s="57" t="s">
        <v>60</v>
      </c>
      <c r="AQ4" s="57" t="s">
        <v>60</v>
      </c>
      <c r="AR4" s="57" t="s">
        <v>60</v>
      </c>
      <c r="AS4" s="57" t="s">
        <v>60</v>
      </c>
      <c r="AT4" s="57" t="s">
        <v>61</v>
      </c>
      <c r="AU4" s="57" t="s">
        <v>61</v>
      </c>
      <c r="AV4" s="57" t="s">
        <v>61</v>
      </c>
      <c r="AW4" s="57" t="s">
        <v>61</v>
      </c>
      <c r="AX4" s="57" t="s">
        <v>62</v>
      </c>
      <c r="AY4" s="57" t="s">
        <v>62</v>
      </c>
      <c r="AZ4" s="57" t="s">
        <v>62</v>
      </c>
      <c r="BA4" s="57" t="s">
        <v>62</v>
      </c>
      <c r="BB4" s="57" t="s">
        <v>63</v>
      </c>
      <c r="BC4" s="57" t="s">
        <v>63</v>
      </c>
      <c r="BD4" s="57" t="s">
        <v>63</v>
      </c>
      <c r="BE4" s="57" t="s">
        <v>63</v>
      </c>
      <c r="BF4" s="57" t="s">
        <v>64</v>
      </c>
      <c r="BG4" s="57" t="s">
        <v>64</v>
      </c>
      <c r="BH4" s="57" t="s">
        <v>64</v>
      </c>
      <c r="BI4" s="57" t="s">
        <v>64</v>
      </c>
      <c r="BJ4" s="57" t="s">
        <v>65</v>
      </c>
      <c r="BK4" s="57" t="s">
        <v>65</v>
      </c>
      <c r="BL4" s="57" t="s">
        <v>65</v>
      </c>
      <c r="BM4" s="57" t="s">
        <v>65</v>
      </c>
      <c r="BN4" s="57" t="s">
        <v>66</v>
      </c>
      <c r="BO4" s="57" t="s">
        <v>66</v>
      </c>
      <c r="BP4" s="57" t="s">
        <v>66</v>
      </c>
      <c r="BQ4" s="57" t="s">
        <v>66</v>
      </c>
      <c r="BR4" s="57" t="s">
        <v>67</v>
      </c>
      <c r="BS4" s="57" t="s">
        <v>67</v>
      </c>
      <c r="BT4" s="57" t="s">
        <v>67</v>
      </c>
      <c r="BU4" s="57" t="s">
        <v>67</v>
      </c>
      <c r="BV4" s="57" t="s">
        <v>68</v>
      </c>
      <c r="BW4" s="57" t="s">
        <v>68</v>
      </c>
      <c r="BX4" s="57" t="s">
        <v>68</v>
      </c>
      <c r="BY4" s="57" t="s">
        <v>68</v>
      </c>
      <c r="BZ4" s="57" t="s">
        <v>69</v>
      </c>
      <c r="CA4" s="57" t="s">
        <v>69</v>
      </c>
      <c r="CB4" s="57" t="s">
        <v>69</v>
      </c>
      <c r="CC4" s="57" t="s">
        <v>69</v>
      </c>
      <c r="CD4" s="57" t="s">
        <v>153</v>
      </c>
      <c r="CE4" s="57" t="s">
        <v>153</v>
      </c>
      <c r="CF4" s="57" t="s">
        <v>153</v>
      </c>
      <c r="CG4" s="57" t="s">
        <v>153</v>
      </c>
      <c r="CH4" s="57" t="s">
        <v>159</v>
      </c>
      <c r="CI4" s="57" t="s">
        <v>159</v>
      </c>
      <c r="CJ4" s="57" t="s">
        <v>159</v>
      </c>
      <c r="CK4" s="57" t="s">
        <v>159</v>
      </c>
      <c r="CL4" s="57" t="s">
        <v>164</v>
      </c>
      <c r="CM4" s="57" t="s">
        <v>164</v>
      </c>
      <c r="CN4" s="57" t="s">
        <v>164</v>
      </c>
      <c r="CO4" s="57" t="s">
        <v>164</v>
      </c>
      <c r="CP4" s="57" t="s">
        <v>197</v>
      </c>
      <c r="CQ4" s="57" t="s">
        <v>197</v>
      </c>
      <c r="CR4" s="57" t="s">
        <v>197</v>
      </c>
      <c r="CS4" s="57" t="s">
        <v>197</v>
      </c>
      <c r="CT4" s="57" t="s">
        <v>198</v>
      </c>
      <c r="CU4" s="57" t="s">
        <v>198</v>
      </c>
      <c r="CV4" s="57" t="s">
        <v>198</v>
      </c>
      <c r="CW4" s="57" t="s">
        <v>198</v>
      </c>
      <c r="CX4" s="57" t="s">
        <v>201</v>
      </c>
      <c r="CY4" s="57" t="s">
        <v>201</v>
      </c>
      <c r="CZ4" s="57" t="s">
        <v>201</v>
      </c>
      <c r="DA4" s="57" t="s">
        <v>201</v>
      </c>
      <c r="DB4" s="57" t="s">
        <v>203</v>
      </c>
      <c r="DC4" s="57" t="s">
        <v>203</v>
      </c>
      <c r="DD4" s="57" t="s">
        <v>203</v>
      </c>
      <c r="DE4" s="57" t="s">
        <v>203</v>
      </c>
      <c r="DF4" s="57" t="s">
        <v>206</v>
      </c>
      <c r="DG4" s="57" t="s">
        <v>206</v>
      </c>
    </row>
    <row r="5" spans="1:111" x14ac:dyDescent="0.3">
      <c r="A5" s="1" t="s">
        <v>0</v>
      </c>
      <c r="B5" s="58"/>
      <c r="C5" s="58"/>
      <c r="D5" s="58"/>
      <c r="E5" s="58"/>
      <c r="F5" s="58"/>
      <c r="G5" s="58"/>
      <c r="H5" s="58"/>
      <c r="I5" s="58"/>
      <c r="J5" s="9">
        <v>49.948411500000006</v>
      </c>
      <c r="K5" s="9">
        <v>43.105083700000002</v>
      </c>
      <c r="L5" s="9">
        <v>80.465767119999995</v>
      </c>
      <c r="M5" s="9">
        <v>91.161414449999995</v>
      </c>
      <c r="N5" s="9">
        <v>145.92787249999998</v>
      </c>
      <c r="O5" s="9">
        <v>143.99742524999999</v>
      </c>
      <c r="P5" s="9">
        <v>190.589192</v>
      </c>
      <c r="Q5" s="9">
        <v>108.855794</v>
      </c>
      <c r="R5" s="9">
        <v>131.8658923299771</v>
      </c>
      <c r="S5" s="9">
        <v>122.893048211345</v>
      </c>
      <c r="T5" s="9">
        <v>186.6244647515</v>
      </c>
      <c r="U5" s="9">
        <v>143.42735494350001</v>
      </c>
      <c r="V5" s="9">
        <v>145.33478908997711</v>
      </c>
      <c r="W5" s="9">
        <v>163.21591153113226</v>
      </c>
      <c r="X5" s="9">
        <v>199.749865</v>
      </c>
      <c r="Y5" s="9">
        <v>174.137495</v>
      </c>
      <c r="Z5" s="9">
        <v>120.320887</v>
      </c>
      <c r="AA5" s="9">
        <v>97.352041170000007</v>
      </c>
      <c r="AB5" s="9">
        <v>135.03701100000001</v>
      </c>
      <c r="AC5" s="9">
        <v>105.70046000000001</v>
      </c>
      <c r="AD5" s="9">
        <v>126.526504</v>
      </c>
      <c r="AE5" s="9">
        <v>142.936385</v>
      </c>
      <c r="AF5" s="9">
        <v>166.66175199999998</v>
      </c>
      <c r="AG5" s="9">
        <v>113.014623</v>
      </c>
      <c r="AH5" s="9">
        <v>97.298444000000018</v>
      </c>
      <c r="AI5" s="9">
        <v>100.505728</v>
      </c>
      <c r="AJ5" s="9">
        <v>125.120983</v>
      </c>
      <c r="AK5" s="9">
        <v>109.59129399999999</v>
      </c>
      <c r="AL5" s="9">
        <v>93.957391000000001</v>
      </c>
      <c r="AM5" s="9">
        <v>102.13473999999999</v>
      </c>
      <c r="AN5" s="9">
        <v>120.71673200000001</v>
      </c>
      <c r="AO5" s="9">
        <v>114.878</v>
      </c>
      <c r="AP5" s="9">
        <v>107.59445500000001</v>
      </c>
      <c r="AQ5" s="9">
        <v>100.23860000000001</v>
      </c>
      <c r="AR5" s="9">
        <v>120.82722069</v>
      </c>
      <c r="AS5" s="9">
        <v>114.70171200000001</v>
      </c>
      <c r="AT5" s="9">
        <v>106.519013</v>
      </c>
      <c r="AU5" s="9">
        <v>109.77413900000001</v>
      </c>
      <c r="AV5" s="9">
        <v>139.28689360105244</v>
      </c>
      <c r="AW5" s="9">
        <v>124.23972391452602</v>
      </c>
      <c r="AX5" s="9">
        <v>146.57379005349725</v>
      </c>
      <c r="AY5" s="9">
        <v>137.69175106955655</v>
      </c>
      <c r="AZ5" s="9">
        <v>194.8060473101286</v>
      </c>
      <c r="BA5" s="9">
        <v>169.20437979015711</v>
      </c>
      <c r="BB5" s="9">
        <v>179.59682738634925</v>
      </c>
      <c r="BC5" s="9">
        <v>190.90862098539168</v>
      </c>
      <c r="BD5" s="9">
        <v>219.08019556962705</v>
      </c>
      <c r="BE5" s="9">
        <v>267.83919287437084</v>
      </c>
      <c r="BF5" s="9">
        <v>240.5165649560812</v>
      </c>
      <c r="BG5" s="9">
        <v>277.32809533283933</v>
      </c>
      <c r="BH5" s="9">
        <v>244.64247503000001</v>
      </c>
      <c r="BI5" s="9">
        <v>272.99747279000002</v>
      </c>
      <c r="BJ5" s="9">
        <v>305.90278323999996</v>
      </c>
      <c r="BK5" s="9">
        <v>352.33030200999997</v>
      </c>
      <c r="BL5" s="9">
        <v>419.17522001643999</v>
      </c>
      <c r="BM5" s="9">
        <v>388.93400605031997</v>
      </c>
      <c r="BN5" s="9">
        <v>415.38008820446152</v>
      </c>
      <c r="BO5" s="9">
        <v>541.47984412487097</v>
      </c>
      <c r="BP5" s="9">
        <v>540.03799982498606</v>
      </c>
      <c r="BQ5" s="9">
        <v>571.2062713373507</v>
      </c>
      <c r="BR5" s="9">
        <v>577.31585743766459</v>
      </c>
      <c r="BS5" s="9">
        <v>519.06861473644722</v>
      </c>
      <c r="BT5" s="9">
        <v>563.98252820340008</v>
      </c>
      <c r="BU5" s="9">
        <v>556.02959993000013</v>
      </c>
      <c r="BV5" s="9">
        <v>559.11440291690042</v>
      </c>
      <c r="BW5" s="9">
        <v>647.43546328922014</v>
      </c>
      <c r="BX5" s="9">
        <v>587.39373142668569</v>
      </c>
      <c r="BY5" s="9">
        <v>523.35409791686175</v>
      </c>
      <c r="BZ5" s="9">
        <v>504.3841926442658</v>
      </c>
      <c r="CA5" s="9">
        <v>548.84204854036864</v>
      </c>
      <c r="CB5" s="9">
        <v>613.69079763999957</v>
      </c>
      <c r="CC5" s="9">
        <v>630.8533801477073</v>
      </c>
      <c r="CD5" s="9">
        <v>648.9517536899998</v>
      </c>
      <c r="CE5" s="9">
        <v>625.63071116000219</v>
      </c>
      <c r="CF5" s="9">
        <v>681.13950221999971</v>
      </c>
      <c r="CG5" s="9">
        <v>711.70937376813401</v>
      </c>
      <c r="CH5" s="9">
        <v>719.35194853000098</v>
      </c>
      <c r="CI5" s="9">
        <v>698.28005226550158</v>
      </c>
      <c r="CJ5" s="9">
        <v>758.49342091000074</v>
      </c>
      <c r="CK5" s="9">
        <v>735.98036520000051</v>
      </c>
      <c r="CL5" s="9">
        <v>678.53428955052459</v>
      </c>
      <c r="CM5" s="9">
        <v>655.7066639299311</v>
      </c>
      <c r="CN5" s="9">
        <v>698.31993647410764</v>
      </c>
      <c r="CO5" s="9">
        <v>673.76817958931156</v>
      </c>
      <c r="CP5" s="9">
        <v>645.78315762070258</v>
      </c>
      <c r="CQ5" s="9">
        <v>706.90185906028216</v>
      </c>
      <c r="CR5" s="9">
        <v>696.12272733906536</v>
      </c>
      <c r="CS5" s="9">
        <v>689.56133640445842</v>
      </c>
      <c r="CT5" s="9">
        <v>645.04107244331885</v>
      </c>
      <c r="CU5" s="9">
        <v>636.46103061702092</v>
      </c>
      <c r="CV5" s="9">
        <v>699.52766968356389</v>
      </c>
      <c r="CW5" s="9">
        <v>706.79870790095129</v>
      </c>
      <c r="CX5" s="9">
        <v>677.11212662407002</v>
      </c>
      <c r="CY5" s="9">
        <v>837.80826666606765</v>
      </c>
      <c r="CZ5" s="9">
        <v>778.84201940087303</v>
      </c>
      <c r="DA5" s="9">
        <v>980.32788082127922</v>
      </c>
      <c r="DB5" s="9">
        <v>786.71517147416341</v>
      </c>
      <c r="DC5" s="9">
        <v>904.02590322400101</v>
      </c>
      <c r="DD5" s="9">
        <v>970.53865663074976</v>
      </c>
      <c r="DE5" s="9">
        <v>875.3717109800574</v>
      </c>
      <c r="DF5" s="9">
        <v>872.36041336610992</v>
      </c>
      <c r="DG5" s="9">
        <v>920.02683296075611</v>
      </c>
    </row>
    <row r="6" spans="1:111" x14ac:dyDescent="0.3">
      <c r="A6" s="1"/>
      <c r="B6" s="58"/>
      <c r="C6" s="58"/>
      <c r="D6" s="58"/>
      <c r="E6" s="58"/>
      <c r="F6" s="58"/>
      <c r="G6" s="58"/>
      <c r="H6" s="58"/>
      <c r="I6" s="58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</row>
    <row r="7" spans="1:111" x14ac:dyDescent="0.3">
      <c r="A7" s="1" t="s">
        <v>1</v>
      </c>
      <c r="B7" s="58"/>
      <c r="C7" s="58"/>
      <c r="D7" s="58"/>
      <c r="E7" s="58"/>
      <c r="F7" s="58"/>
      <c r="G7" s="58"/>
      <c r="H7" s="58"/>
      <c r="I7" s="58"/>
      <c r="J7" s="9">
        <v>28.105000000000004</v>
      </c>
      <c r="K7" s="9">
        <v>18.432386999999999</v>
      </c>
      <c r="L7" s="9">
        <v>60.722101870000003</v>
      </c>
      <c r="M7" s="9">
        <v>72.714071000000004</v>
      </c>
      <c r="N7" s="9">
        <v>121.781091</v>
      </c>
      <c r="O7" s="9">
        <v>101.68820700000001</v>
      </c>
      <c r="P7" s="9">
        <v>153.37799999999999</v>
      </c>
      <c r="Q7" s="9">
        <v>79.786000000000001</v>
      </c>
      <c r="R7" s="9">
        <v>97.789378999999997</v>
      </c>
      <c r="S7" s="9">
        <v>88.051068000000001</v>
      </c>
      <c r="T7" s="9">
        <v>138.02155099999999</v>
      </c>
      <c r="U7" s="9">
        <v>80.507045000000005</v>
      </c>
      <c r="V7" s="9">
        <v>82.336493999999988</v>
      </c>
      <c r="W7" s="9">
        <v>95.226955000000004</v>
      </c>
      <c r="X7" s="9">
        <v>108.89013999999999</v>
      </c>
      <c r="Y7" s="9">
        <v>79.165999999999997</v>
      </c>
      <c r="Z7" s="9">
        <v>71.867801</v>
      </c>
      <c r="AA7" s="9">
        <v>50.436100000000003</v>
      </c>
      <c r="AB7" s="9">
        <v>83.352219999999988</v>
      </c>
      <c r="AC7" s="9">
        <v>63.202151000000001</v>
      </c>
      <c r="AD7" s="9">
        <v>78.788499999999999</v>
      </c>
      <c r="AE7" s="9">
        <v>69.628975999999994</v>
      </c>
      <c r="AF7" s="9">
        <v>96.849751999999995</v>
      </c>
      <c r="AG7" s="9">
        <v>61.472622999999999</v>
      </c>
      <c r="AH7" s="9">
        <v>54.225000000000001</v>
      </c>
      <c r="AI7" s="9">
        <v>61.800986999999999</v>
      </c>
      <c r="AJ7" s="9">
        <v>45.603814999999997</v>
      </c>
      <c r="AK7" s="9">
        <v>25.240454999999997</v>
      </c>
      <c r="AL7" s="9">
        <v>32.153776999999998</v>
      </c>
      <c r="AM7" s="9">
        <v>22.38974</v>
      </c>
      <c r="AN7" s="9">
        <v>31.969019000000003</v>
      </c>
      <c r="AO7" s="9">
        <v>23.131</v>
      </c>
      <c r="AP7" s="9">
        <v>27.329373999999998</v>
      </c>
      <c r="AQ7" s="9">
        <v>15.2</v>
      </c>
      <c r="AR7" s="9">
        <v>21.565252999999998</v>
      </c>
      <c r="AS7" s="9">
        <v>21.159511999999999</v>
      </c>
      <c r="AT7" s="9">
        <v>25.984012999999997</v>
      </c>
      <c r="AU7" s="9">
        <v>27.926000000000002</v>
      </c>
      <c r="AV7" s="9">
        <v>29.85577</v>
      </c>
      <c r="AW7" s="9">
        <v>21.707314</v>
      </c>
      <c r="AX7" s="9">
        <v>25.998368000000003</v>
      </c>
      <c r="AY7" s="9">
        <v>21.547939</v>
      </c>
      <c r="AZ7" s="9">
        <v>36.528393999999999</v>
      </c>
      <c r="BA7" s="9">
        <v>30.054281</v>
      </c>
      <c r="BB7" s="9">
        <v>27.636714000000001</v>
      </c>
      <c r="BC7" s="9">
        <v>28.919849539999998</v>
      </c>
      <c r="BD7" s="9">
        <v>37.772841</v>
      </c>
      <c r="BE7" s="9">
        <v>50.198</v>
      </c>
      <c r="BF7" s="9">
        <v>45.193018000000002</v>
      </c>
      <c r="BG7" s="9">
        <v>38.524999999999999</v>
      </c>
      <c r="BH7" s="9">
        <v>50.394000000000005</v>
      </c>
      <c r="BI7" s="9">
        <v>39.260999999999996</v>
      </c>
      <c r="BJ7" s="9">
        <v>42.076000000000001</v>
      </c>
      <c r="BK7" s="9">
        <v>58.524999000000001</v>
      </c>
      <c r="BL7" s="9">
        <v>72.735530000000011</v>
      </c>
      <c r="BM7" s="9">
        <v>55.181296000000003</v>
      </c>
      <c r="BN7" s="9">
        <v>70.598168000000001</v>
      </c>
      <c r="BO7" s="9">
        <v>68.134930999999995</v>
      </c>
      <c r="BP7" s="9">
        <v>113.05</v>
      </c>
      <c r="BQ7" s="9">
        <v>96.846000000000004</v>
      </c>
      <c r="BR7" s="9">
        <v>110.382114</v>
      </c>
      <c r="BS7" s="9">
        <v>77.841730999999996</v>
      </c>
      <c r="BT7" s="9">
        <v>85.870062000000004</v>
      </c>
      <c r="BU7" s="9">
        <v>62.558999999999997</v>
      </c>
      <c r="BV7" s="9">
        <v>65.272064</v>
      </c>
      <c r="BW7" s="9">
        <v>66.506826000000004</v>
      </c>
      <c r="BX7" s="9">
        <v>73.542000000000002</v>
      </c>
      <c r="BY7" s="9">
        <v>56.81</v>
      </c>
      <c r="BZ7" s="9">
        <v>70.150000000000006</v>
      </c>
      <c r="CA7" s="9">
        <v>84.134999999999991</v>
      </c>
      <c r="CB7" s="9">
        <v>91.915773000000002</v>
      </c>
      <c r="CC7" s="9">
        <v>124.843075</v>
      </c>
      <c r="CD7" s="9">
        <v>147.81796697999999</v>
      </c>
      <c r="CE7" s="9">
        <v>102.08448299</v>
      </c>
      <c r="CF7" s="9">
        <v>100.05310401000003</v>
      </c>
      <c r="CG7" s="9">
        <v>94.254997010000011</v>
      </c>
      <c r="CH7" s="9">
        <v>95.568087009999999</v>
      </c>
      <c r="CI7" s="9">
        <v>82.627591020000011</v>
      </c>
      <c r="CJ7" s="9">
        <v>122.95396499</v>
      </c>
      <c r="CK7" s="9">
        <v>121.53929907</v>
      </c>
      <c r="CL7" s="9">
        <v>106.00326098999999</v>
      </c>
      <c r="CM7" s="9">
        <v>74.909567989999999</v>
      </c>
      <c r="CN7" s="9">
        <v>113.28705416999998</v>
      </c>
      <c r="CO7" s="9">
        <v>109.80510098000002</v>
      </c>
      <c r="CP7" s="9">
        <v>97.031912040000009</v>
      </c>
      <c r="CQ7" s="9">
        <v>87.2728343</v>
      </c>
      <c r="CR7" s="9">
        <v>117.53932098999999</v>
      </c>
      <c r="CS7" s="9">
        <v>98.648496829999999</v>
      </c>
      <c r="CT7" s="9">
        <v>104.92555796000001</v>
      </c>
      <c r="CU7" s="9">
        <v>81.520312059999995</v>
      </c>
      <c r="CV7" s="9">
        <v>80.341023828000004</v>
      </c>
      <c r="CW7" s="9">
        <v>85.247014059999998</v>
      </c>
      <c r="CX7" s="9">
        <v>80.006177170000001</v>
      </c>
      <c r="CY7" s="9">
        <v>126.05509977</v>
      </c>
      <c r="CZ7" s="9">
        <v>147.92672719000001</v>
      </c>
      <c r="DA7" s="9">
        <v>136.52540001000003</v>
      </c>
      <c r="DB7" s="9">
        <v>135.13938984000004</v>
      </c>
      <c r="DC7" s="9">
        <v>135.84781600000002</v>
      </c>
      <c r="DD7" s="9">
        <v>121.025865</v>
      </c>
      <c r="DE7" s="9">
        <v>100.46075299999998</v>
      </c>
      <c r="DF7" s="9">
        <v>105.278954</v>
      </c>
      <c r="DG7" s="9">
        <v>109.59348897999999</v>
      </c>
    </row>
    <row r="8" spans="1:111" x14ac:dyDescent="0.3">
      <c r="A8" s="2" t="s">
        <v>199</v>
      </c>
      <c r="B8" s="59"/>
      <c r="C8" s="59"/>
      <c r="D8" s="59"/>
      <c r="E8" s="59"/>
      <c r="F8" s="59"/>
      <c r="G8" s="59"/>
      <c r="H8" s="59"/>
      <c r="I8" s="59"/>
      <c r="J8" s="14">
        <v>0.50700000000000001</v>
      </c>
      <c r="K8" s="14">
        <v>0.26671200000000006</v>
      </c>
      <c r="L8" s="14">
        <v>0.88328099999999998</v>
      </c>
      <c r="M8" s="14">
        <v>0.93957500000000005</v>
      </c>
      <c r="N8" s="14">
        <v>0.91461899999999996</v>
      </c>
      <c r="O8" s="14">
        <v>0.56355900000000003</v>
      </c>
      <c r="P8" s="14">
        <v>0.98336200000000007</v>
      </c>
      <c r="Q8" s="14">
        <v>0.49931199999999998</v>
      </c>
      <c r="R8" s="14">
        <v>0.74652000000000007</v>
      </c>
      <c r="S8" s="14">
        <v>0.79550199999999993</v>
      </c>
      <c r="T8" s="14">
        <v>1.5130250000000001</v>
      </c>
      <c r="U8" s="14">
        <v>0.860348</v>
      </c>
      <c r="V8" s="14">
        <v>0.97992800000000002</v>
      </c>
      <c r="W8" s="14">
        <v>1.290986</v>
      </c>
      <c r="X8" s="14">
        <v>1.3843570000000001</v>
      </c>
      <c r="Y8" s="14">
        <v>0.752965</v>
      </c>
      <c r="Z8" s="14">
        <v>0.80852600000000008</v>
      </c>
      <c r="AA8" s="14">
        <v>0.55591400000000002</v>
      </c>
      <c r="AB8" s="14">
        <v>0.85089799999999993</v>
      </c>
      <c r="AC8" s="14">
        <v>0.647065</v>
      </c>
      <c r="AD8" s="14">
        <v>0.96412999999999993</v>
      </c>
      <c r="AE8" s="14">
        <v>0.80958799999999997</v>
      </c>
      <c r="AF8" s="14">
        <v>1.118763</v>
      </c>
      <c r="AG8" s="14">
        <v>0.854626</v>
      </c>
      <c r="AH8" s="14">
        <v>0.86469200000000002</v>
      </c>
      <c r="AI8" s="14">
        <v>1.0027159999999999</v>
      </c>
      <c r="AJ8" s="14">
        <v>0.6587059999999999</v>
      </c>
      <c r="AK8" s="14">
        <v>0.512992</v>
      </c>
      <c r="AL8" s="14">
        <v>0.74356</v>
      </c>
      <c r="AM8" s="14">
        <v>0.59909600000000007</v>
      </c>
      <c r="AN8" s="14">
        <v>0.85000300000000006</v>
      </c>
      <c r="AO8" s="14">
        <v>0.64731700000000003</v>
      </c>
      <c r="AP8" s="14">
        <v>0.98109899999999994</v>
      </c>
      <c r="AQ8" s="14">
        <v>0.57723999999999998</v>
      </c>
      <c r="AR8" s="14">
        <v>0.8132100000000001</v>
      </c>
      <c r="AS8" s="14">
        <v>0.78417199999999998</v>
      </c>
      <c r="AT8" s="14">
        <v>0.97222399999999998</v>
      </c>
      <c r="AU8" s="14">
        <v>0.79025100000000004</v>
      </c>
      <c r="AV8" s="14">
        <v>0.69355200000000006</v>
      </c>
      <c r="AW8" s="14">
        <v>0.53647599999999995</v>
      </c>
      <c r="AX8" s="14">
        <v>0.66287300000000005</v>
      </c>
      <c r="AY8" s="14">
        <v>0.500301</v>
      </c>
      <c r="AZ8" s="14">
        <v>0.76707199999999998</v>
      </c>
      <c r="BA8" s="14">
        <v>0.62207800000000002</v>
      </c>
      <c r="BB8" s="14">
        <v>0.63495100000000004</v>
      </c>
      <c r="BC8" s="14">
        <v>0.60421999999999998</v>
      </c>
      <c r="BD8" s="14">
        <v>0.62187999999999999</v>
      </c>
      <c r="BE8" s="14">
        <v>0.65900400000000003</v>
      </c>
      <c r="BF8" s="14">
        <v>0.60974799999999996</v>
      </c>
      <c r="BG8" s="14">
        <v>0.484541</v>
      </c>
      <c r="BH8" s="14">
        <v>0.550566</v>
      </c>
      <c r="BI8" s="14">
        <v>0.457061</v>
      </c>
      <c r="BJ8" s="14">
        <v>0.51038399999999995</v>
      </c>
      <c r="BK8" s="14">
        <v>0.65500800000000003</v>
      </c>
      <c r="BL8" s="14">
        <v>0.80362599999999995</v>
      </c>
      <c r="BM8" s="14">
        <v>0.56650500000000004</v>
      </c>
      <c r="BN8" s="14">
        <v>0.67910699999999991</v>
      </c>
      <c r="BO8" s="14">
        <v>0.64395899999999995</v>
      </c>
      <c r="BP8" s="14">
        <v>0.95846900000000002</v>
      </c>
      <c r="BQ8" s="14">
        <v>0.74677499999999997</v>
      </c>
      <c r="BR8" s="14">
        <v>0.86205299999999996</v>
      </c>
      <c r="BS8" s="14">
        <v>0.74526400000000004</v>
      </c>
      <c r="BT8" s="14">
        <v>0.91014499999999998</v>
      </c>
      <c r="BU8" s="14">
        <v>0.68037099999999995</v>
      </c>
      <c r="BV8" s="14">
        <v>0.72519</v>
      </c>
      <c r="BW8" s="14">
        <v>0.70696099999999995</v>
      </c>
      <c r="BX8" s="14">
        <v>0.74649600000000005</v>
      </c>
      <c r="BY8" s="14">
        <v>0.56497599999999992</v>
      </c>
      <c r="BZ8" s="14">
        <v>0.65325699999999998</v>
      </c>
      <c r="CA8" s="14">
        <v>0.69248500000000002</v>
      </c>
      <c r="CB8" s="14">
        <v>0.63224400000000003</v>
      </c>
      <c r="CC8" s="14">
        <v>0.80075499999999988</v>
      </c>
      <c r="CD8" s="14">
        <v>1.0255240000000001</v>
      </c>
      <c r="CE8" s="14">
        <v>0.684863</v>
      </c>
      <c r="CF8" s="14">
        <v>0.65837299999999999</v>
      </c>
      <c r="CG8" s="14">
        <v>0.668825</v>
      </c>
      <c r="CH8" s="14">
        <v>0.71648323000000003</v>
      </c>
      <c r="CI8" s="14">
        <v>0.64269799999999999</v>
      </c>
      <c r="CJ8" s="14">
        <v>1.0015960000000002</v>
      </c>
      <c r="CK8" s="14">
        <v>1.0136780000000001</v>
      </c>
      <c r="CL8" s="14">
        <v>0.937863</v>
      </c>
      <c r="CM8" s="14">
        <v>0.73260099999999995</v>
      </c>
      <c r="CN8" s="14">
        <v>1.0947739999999999</v>
      </c>
      <c r="CO8" s="14">
        <v>0.88795499999999983</v>
      </c>
      <c r="CP8" s="14">
        <v>0.79025999999999996</v>
      </c>
      <c r="CQ8" s="14">
        <v>0.67418900000000004</v>
      </c>
      <c r="CR8" s="14">
        <v>0.91305100000000006</v>
      </c>
      <c r="CS8" s="14">
        <v>0.86280000000000001</v>
      </c>
      <c r="CT8" s="14">
        <v>1.01</v>
      </c>
      <c r="CU8" s="14">
        <v>0.81520799999999993</v>
      </c>
      <c r="CV8" s="14">
        <v>0.85417199999999993</v>
      </c>
      <c r="CW8" s="14">
        <v>0.879888</v>
      </c>
      <c r="CX8" s="14">
        <v>0.76849100000000004</v>
      </c>
      <c r="CY8" s="14">
        <v>1.0419559999999999</v>
      </c>
      <c r="CZ8" s="14">
        <v>1.212472</v>
      </c>
      <c r="DA8" s="14">
        <v>1.165251</v>
      </c>
      <c r="DB8" s="14">
        <v>1.1873830000000001</v>
      </c>
      <c r="DC8" s="14">
        <v>1.2109529999999999</v>
      </c>
      <c r="DD8" s="14">
        <v>1.1256539999999999</v>
      </c>
      <c r="DE8" s="14">
        <v>0.93456800000000007</v>
      </c>
      <c r="DF8" s="14">
        <v>1.0351729999999999</v>
      </c>
      <c r="DG8" s="14">
        <v>1.0751219999999999</v>
      </c>
    </row>
    <row r="9" spans="1:111" x14ac:dyDescent="0.3">
      <c r="A9" s="2" t="s">
        <v>2</v>
      </c>
      <c r="B9" s="59"/>
      <c r="C9" s="59"/>
      <c r="D9" s="59"/>
      <c r="E9" s="59"/>
      <c r="F9" s="59"/>
      <c r="G9" s="59"/>
      <c r="H9" s="59"/>
      <c r="I9" s="59"/>
      <c r="J9" s="14">
        <v>2.7185900635586169</v>
      </c>
      <c r="K9" s="14">
        <v>3.4451063491500173</v>
      </c>
      <c r="L9" s="14">
        <v>3.446645622904156</v>
      </c>
      <c r="M9" s="14">
        <v>3.9349852042355487</v>
      </c>
      <c r="N9" s="14">
        <v>6.6472401146368663</v>
      </c>
      <c r="O9" s="14">
        <v>9.0935567150991119</v>
      </c>
      <c r="P9" s="14">
        <v>7.7955435375427982</v>
      </c>
      <c r="Q9" s="14">
        <v>7.9283791183613506</v>
      </c>
      <c r="R9" s="14">
        <v>6.5308599808781169</v>
      </c>
      <c r="S9" s="14">
        <v>5.6782471338407383</v>
      </c>
      <c r="T9" s="14">
        <v>4.5654549121173096</v>
      </c>
      <c r="U9" s="14">
        <v>4.6874951187937617</v>
      </c>
      <c r="V9" s="14">
        <v>4.2226646394884764</v>
      </c>
      <c r="W9" s="14">
        <v>3.7186722565268377</v>
      </c>
      <c r="X9" s="14">
        <v>4.0141701288898917</v>
      </c>
      <c r="Y9" s="14">
        <v>5.2832597864470614</v>
      </c>
      <c r="Z9" s="14">
        <v>4.407791243556729</v>
      </c>
      <c r="AA9" s="14">
        <v>4.5466728665040828</v>
      </c>
      <c r="AB9" s="14">
        <v>4.9103901997715775</v>
      </c>
      <c r="AC9" s="14">
        <v>4.978121557030768</v>
      </c>
      <c r="AD9" s="14">
        <v>1.3619964804193072</v>
      </c>
      <c r="AE9" s="14">
        <v>1.4334240790789059</v>
      </c>
      <c r="AF9" s="14">
        <v>1.442810079823281</v>
      </c>
      <c r="AG9" s="14">
        <v>1.1988211412555512</v>
      </c>
      <c r="AH9" s="14">
        <v>1.0451698408219343</v>
      </c>
      <c r="AI9" s="14">
        <v>1.0272265028183454</v>
      </c>
      <c r="AJ9" s="14">
        <v>1.1538737818288181</v>
      </c>
      <c r="AK9" s="14">
        <v>0.82004056593475139</v>
      </c>
      <c r="AL9" s="14">
        <v>0.72071693384976776</v>
      </c>
      <c r="AM9" s="14">
        <v>0.62287568825919937</v>
      </c>
      <c r="AN9" s="14">
        <v>0.62684129742287176</v>
      </c>
      <c r="AO9" s="14">
        <v>0.59556085606691411</v>
      </c>
      <c r="AP9" s="14">
        <v>0.46426463248527072</v>
      </c>
      <c r="AQ9" s="14">
        <v>0.43887002517728041</v>
      </c>
      <c r="AR9" s="14">
        <v>0.44197794337665947</v>
      </c>
      <c r="AS9" s="14">
        <v>0.44972089456564801</v>
      </c>
      <c r="AT9" s="14">
        <v>0.44543940833936763</v>
      </c>
      <c r="AU9" s="14">
        <v>0.58896899002131398</v>
      </c>
      <c r="AV9" s="14">
        <v>0.7174605028414115</v>
      </c>
      <c r="AW9" s="14">
        <v>0.67437977964842177</v>
      </c>
      <c r="AX9" s="14">
        <v>0.65367896012257753</v>
      </c>
      <c r="AY9" s="14">
        <v>0.7178324981694354</v>
      </c>
      <c r="AZ9" s="14">
        <v>0.79367590873694605</v>
      </c>
      <c r="BA9" s="14">
        <v>0.8052120205719111</v>
      </c>
      <c r="BB9" s="14">
        <v>0.72542904885573845</v>
      </c>
      <c r="BC9" s="14">
        <v>0.79771853353634981</v>
      </c>
      <c r="BD9" s="14">
        <v>1.0123293079050621</v>
      </c>
      <c r="BE9" s="14">
        <v>1.269542117093877</v>
      </c>
      <c r="BF9" s="14">
        <v>1.2352922300141482</v>
      </c>
      <c r="BG9" s="14">
        <v>1.3251372604863847</v>
      </c>
      <c r="BH9" s="14">
        <v>1.5255210092886233</v>
      </c>
      <c r="BI9" s="14">
        <v>1.4316469792872286</v>
      </c>
      <c r="BJ9" s="14">
        <v>1.3739981399625905</v>
      </c>
      <c r="BK9" s="14">
        <v>1.4891675368850457</v>
      </c>
      <c r="BL9" s="14">
        <v>1.508486327387782</v>
      </c>
      <c r="BM9" s="14">
        <v>1.6234424526997409</v>
      </c>
      <c r="BN9" s="14">
        <v>1.7326225960464749</v>
      </c>
      <c r="BO9" s="14">
        <v>1.7634386402446947</v>
      </c>
      <c r="BP9" s="14">
        <v>1.9658086663905319</v>
      </c>
      <c r="BQ9" s="14">
        <v>2.1614274714606139</v>
      </c>
      <c r="BR9" s="14">
        <v>2.1340937274158316</v>
      </c>
      <c r="BS9" s="14">
        <v>1.7408088722027808</v>
      </c>
      <c r="BT9" s="14">
        <v>1.5724612012371655</v>
      </c>
      <c r="BU9" s="14">
        <v>1.5324727244400482</v>
      </c>
      <c r="BV9" s="14">
        <v>1.5001140850443793</v>
      </c>
      <c r="BW9" s="14">
        <v>1.5679041701027356</v>
      </c>
      <c r="BX9" s="14">
        <v>1.6419378000685869</v>
      </c>
      <c r="BY9" s="14">
        <v>1.6758823973643722</v>
      </c>
      <c r="BZ9" s="14">
        <v>1.7897499248636706</v>
      </c>
      <c r="CA9" s="14">
        <v>2.0249536091034459</v>
      </c>
      <c r="CB9" s="14">
        <v>2.4230036979394027</v>
      </c>
      <c r="CC9" s="14">
        <v>2.5984451132576969</v>
      </c>
      <c r="CD9" s="14">
        <v>2.4023160676883228</v>
      </c>
      <c r="CE9" s="14">
        <v>2.4843042328660379</v>
      </c>
      <c r="CF9" s="14">
        <v>2.5328373634702523</v>
      </c>
      <c r="CG9" s="14">
        <v>2.3487707798502351</v>
      </c>
      <c r="CH9" s="14">
        <v>2.2230826674989541</v>
      </c>
      <c r="CI9" s="14">
        <v>2.1427272482565689</v>
      </c>
      <c r="CJ9" s="14">
        <v>2.0459673858854597</v>
      </c>
      <c r="CK9" s="14">
        <v>1.9983219370450971</v>
      </c>
      <c r="CL9" s="14">
        <v>1.8837730206863901</v>
      </c>
      <c r="CM9" s="14">
        <v>1.7041920497424021</v>
      </c>
      <c r="CN9" s="14">
        <v>1.7246642407474051</v>
      </c>
      <c r="CO9" s="14">
        <v>2.0610109930495732</v>
      </c>
      <c r="CP9" s="14">
        <v>2.0464132488041913</v>
      </c>
      <c r="CQ9" s="14">
        <v>2.1574769661524189</v>
      </c>
      <c r="CR9" s="14">
        <v>2.1455413587703935</v>
      </c>
      <c r="CS9" s="14">
        <v>1.9055883331401637</v>
      </c>
      <c r="CT9" s="14">
        <v>1.7314448508250826</v>
      </c>
      <c r="CU9" s="14">
        <v>1.6666566908895235</v>
      </c>
      <c r="CV9" s="14">
        <v>1.5676199451632695</v>
      </c>
      <c r="CW9" s="14">
        <v>1.6147322928221166</v>
      </c>
      <c r="CX9" s="14">
        <v>1.7351358521656943</v>
      </c>
      <c r="CY9" s="14">
        <v>2.0163215428482588</v>
      </c>
      <c r="CZ9" s="14">
        <v>2.0334040317357158</v>
      </c>
      <c r="DA9" s="14">
        <v>1.9527323585218983</v>
      </c>
      <c r="DB9" s="14">
        <v>1.8968800833429487</v>
      </c>
      <c r="DC9" s="14">
        <v>1.8697094492244266</v>
      </c>
      <c r="DD9" s="14">
        <v>1.7919340667736268</v>
      </c>
      <c r="DE9" s="14">
        <v>1.79157202400824</v>
      </c>
      <c r="DF9" s="14">
        <v>1.6950299450752033</v>
      </c>
      <c r="DG9" s="14">
        <v>1.6992012556493232</v>
      </c>
    </row>
    <row r="10" spans="1:111" x14ac:dyDescent="0.3">
      <c r="B10" s="60"/>
      <c r="C10" s="60"/>
      <c r="D10" s="60"/>
      <c r="E10" s="60"/>
      <c r="F10" s="60"/>
      <c r="G10" s="60"/>
      <c r="H10" s="60"/>
      <c r="I10" s="60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148"/>
      <c r="CY10" s="148"/>
      <c r="CZ10" s="148"/>
      <c r="DA10" s="148"/>
      <c r="DB10" s="148"/>
      <c r="DC10" s="148"/>
      <c r="DD10" s="148"/>
      <c r="DE10" s="148"/>
      <c r="DF10" s="148"/>
      <c r="DG10" s="148"/>
    </row>
    <row r="11" spans="1:111" x14ac:dyDescent="0.3">
      <c r="A11" s="1" t="s">
        <v>3</v>
      </c>
      <c r="B11" s="58"/>
      <c r="C11" s="58"/>
      <c r="D11" s="58"/>
      <c r="E11" s="58"/>
      <c r="F11" s="58"/>
      <c r="G11" s="58"/>
      <c r="H11" s="58"/>
      <c r="I11" s="58"/>
      <c r="J11" s="9">
        <v>21.843411500000002</v>
      </c>
      <c r="K11" s="9">
        <v>24.672696700000003</v>
      </c>
      <c r="L11" s="9">
        <v>19.743665249999999</v>
      </c>
      <c r="M11" s="9">
        <v>18.447343450000002</v>
      </c>
      <c r="N11" s="9">
        <v>24.146781500000003</v>
      </c>
      <c r="O11" s="9">
        <v>42.309218250000001</v>
      </c>
      <c r="P11" s="9">
        <v>37.211191999999997</v>
      </c>
      <c r="Q11" s="9">
        <v>29.069793999999998</v>
      </c>
      <c r="R11" s="9">
        <v>34.076513329977118</v>
      </c>
      <c r="S11" s="9">
        <v>34.841980211345003</v>
      </c>
      <c r="T11" s="9">
        <v>48.602913751499997</v>
      </c>
      <c r="U11" s="9">
        <v>62.920309943500001</v>
      </c>
      <c r="V11" s="9">
        <v>62.99829508997712</v>
      </c>
      <c r="W11" s="9">
        <v>67.98895653113226</v>
      </c>
      <c r="X11" s="9">
        <v>90.859724999999997</v>
      </c>
      <c r="Y11" s="9">
        <v>94.97149499999999</v>
      </c>
      <c r="Z11" s="9">
        <v>48.453086000000006</v>
      </c>
      <c r="AA11" s="9">
        <v>46.915941169999996</v>
      </c>
      <c r="AB11" s="9">
        <v>51.684790999999997</v>
      </c>
      <c r="AC11" s="9">
        <v>42.498308999999999</v>
      </c>
      <c r="AD11" s="9">
        <v>47.738004000000004</v>
      </c>
      <c r="AE11" s="9">
        <v>73.307409000000007</v>
      </c>
      <c r="AF11" s="9">
        <v>69.811999999999998</v>
      </c>
      <c r="AG11" s="9">
        <v>51.541999999999994</v>
      </c>
      <c r="AH11" s="9">
        <v>43.073444000000009</v>
      </c>
      <c r="AI11" s="9">
        <v>38.704740999999999</v>
      </c>
      <c r="AJ11" s="9">
        <v>79.517167999999998</v>
      </c>
      <c r="AK11" s="9">
        <v>84.350838999999993</v>
      </c>
      <c r="AL11" s="9">
        <v>61.803613999999996</v>
      </c>
      <c r="AM11" s="9">
        <v>79.745000000000005</v>
      </c>
      <c r="AN11" s="9">
        <v>88.747713000000005</v>
      </c>
      <c r="AO11" s="9">
        <v>91.747</v>
      </c>
      <c r="AP11" s="9">
        <v>80.265081000000009</v>
      </c>
      <c r="AQ11" s="9">
        <v>85.038600000000002</v>
      </c>
      <c r="AR11" s="9">
        <v>99.261967690000006</v>
      </c>
      <c r="AS11" s="9">
        <v>93.542200000000008</v>
      </c>
      <c r="AT11" s="9">
        <v>80.534999999999997</v>
      </c>
      <c r="AU11" s="9">
        <v>81.848139000000003</v>
      </c>
      <c r="AV11" s="9">
        <v>106.73895808</v>
      </c>
      <c r="AW11" s="9">
        <v>98.860462980000008</v>
      </c>
      <c r="AX11" s="9">
        <v>115.02120841000001</v>
      </c>
      <c r="AY11" s="9">
        <v>108.56820886</v>
      </c>
      <c r="AZ11" s="9">
        <v>147.94499999999999</v>
      </c>
      <c r="BA11" s="9">
        <v>125.05699999999997</v>
      </c>
      <c r="BB11" s="9">
        <v>132.738</v>
      </c>
      <c r="BC11" s="9">
        <v>135.77099999999999</v>
      </c>
      <c r="BD11" s="9">
        <v>145.99570564962704</v>
      </c>
      <c r="BE11" s="9">
        <v>165.05644919437083</v>
      </c>
      <c r="BF11" s="9">
        <v>150.83598737608122</v>
      </c>
      <c r="BG11" s="9">
        <v>170.88025032283934</v>
      </c>
      <c r="BH11" s="9">
        <v>162.77300000000002</v>
      </c>
      <c r="BI11" s="9">
        <v>175.875</v>
      </c>
      <c r="BJ11" s="9">
        <v>197</v>
      </c>
      <c r="BK11" s="9">
        <v>218.22800000000001</v>
      </c>
      <c r="BL11" s="9">
        <v>275.36699999999996</v>
      </c>
      <c r="BM11" s="9">
        <v>278.00399999999996</v>
      </c>
      <c r="BN11" s="9">
        <v>245.03576352667622</v>
      </c>
      <c r="BO11" s="9">
        <v>269.04499999999996</v>
      </c>
      <c r="BP11" s="9">
        <v>286.16049344964216</v>
      </c>
      <c r="BQ11" s="9">
        <v>334.03815289493866</v>
      </c>
      <c r="BR11" s="9">
        <v>334.53988963445801</v>
      </c>
      <c r="BS11" s="9">
        <v>300.68563739775055</v>
      </c>
      <c r="BT11" s="9">
        <v>304.65100000000001</v>
      </c>
      <c r="BU11" s="9">
        <v>289.154</v>
      </c>
      <c r="BV11" s="9">
        <v>310.65800000000002</v>
      </c>
      <c r="BW11" s="9">
        <v>338.34700000000004</v>
      </c>
      <c r="BX11" s="9">
        <v>346.0195606466857</v>
      </c>
      <c r="BY11" s="9">
        <v>355.00921962686209</v>
      </c>
      <c r="BZ11" s="9">
        <v>315.31940482426637</v>
      </c>
      <c r="CA11" s="9">
        <v>334.65210514036863</v>
      </c>
      <c r="CB11" s="9">
        <v>436.67159961000027</v>
      </c>
      <c r="CC11" s="9">
        <v>421.72523381739757</v>
      </c>
      <c r="CD11" s="9">
        <v>402.5666594500002</v>
      </c>
      <c r="CE11" s="9">
        <v>435.66516715000063</v>
      </c>
      <c r="CF11" s="9">
        <v>487.68145210999995</v>
      </c>
      <c r="CG11" s="9">
        <v>513.97345663813462</v>
      </c>
      <c r="CH11" s="9">
        <v>510.81776774000059</v>
      </c>
      <c r="CI11" s="9">
        <v>471.77865158000037</v>
      </c>
      <c r="CJ11" s="9">
        <v>523.81717829000036</v>
      </c>
      <c r="CK11" s="9">
        <v>514.45455202000005</v>
      </c>
      <c r="CL11" s="9">
        <v>465.73799618999976</v>
      </c>
      <c r="CM11" s="9">
        <v>478.03728994000022</v>
      </c>
      <c r="CN11" s="9">
        <v>499.49245245975771</v>
      </c>
      <c r="CO11" s="9">
        <v>463.38060345749147</v>
      </c>
      <c r="CP11" s="9">
        <v>449.56499059204253</v>
      </c>
      <c r="CQ11" s="9">
        <v>490.34753340078231</v>
      </c>
      <c r="CR11" s="9">
        <v>480.68194361041549</v>
      </c>
      <c r="CS11" s="9">
        <v>478.7001637010784</v>
      </c>
      <c r="CT11" s="9">
        <v>443.74454754456883</v>
      </c>
      <c r="CU11" s="9">
        <v>462.30025514656091</v>
      </c>
      <c r="CV11" s="9">
        <v>515.67681941024148</v>
      </c>
      <c r="CW11" s="9">
        <v>524.3747406458275</v>
      </c>
      <c r="CX11" s="9">
        <v>503.95717530973997</v>
      </c>
      <c r="CY11" s="9">
        <v>586.3527711781876</v>
      </c>
      <c r="CZ11" s="9">
        <v>496.02640104554297</v>
      </c>
      <c r="DA11" s="9">
        <v>713.56052313812916</v>
      </c>
      <c r="DB11" s="9">
        <v>526.06163809292343</v>
      </c>
      <c r="DC11" s="9">
        <v>609.78285796399086</v>
      </c>
      <c r="DD11" s="9">
        <v>687.31065649396669</v>
      </c>
      <c r="DE11" s="9">
        <v>631.99183397327738</v>
      </c>
      <c r="DF11" s="9">
        <v>643.60277642999995</v>
      </c>
      <c r="DG11" s="9">
        <v>688.61651949137138</v>
      </c>
    </row>
    <row r="12" spans="1:111" x14ac:dyDescent="0.3">
      <c r="A12" s="2" t="s">
        <v>4</v>
      </c>
      <c r="B12" s="59"/>
      <c r="C12" s="59"/>
      <c r="D12" s="59"/>
      <c r="E12" s="59"/>
      <c r="F12" s="59"/>
      <c r="G12" s="59"/>
      <c r="H12" s="59"/>
      <c r="I12" s="59"/>
      <c r="J12" s="14">
        <v>0.16</v>
      </c>
      <c r="K12" s="14">
        <v>0.16</v>
      </c>
      <c r="L12" s="14">
        <v>0.18</v>
      </c>
      <c r="M12" s="14">
        <v>0.48699999999999999</v>
      </c>
      <c r="N12" s="14">
        <v>1.292</v>
      </c>
      <c r="O12" s="14">
        <v>0.58600000000000008</v>
      </c>
      <c r="P12" s="14">
        <v>0.58099999999999996</v>
      </c>
      <c r="Q12" s="14">
        <v>0.59400000000000008</v>
      </c>
      <c r="R12" s="14">
        <v>0.63400000000000001</v>
      </c>
      <c r="S12" s="14">
        <v>0.60499999999999998</v>
      </c>
      <c r="T12" s="14">
        <v>0.67600000000000005</v>
      </c>
      <c r="U12" s="14">
        <v>0.59899999999999998</v>
      </c>
      <c r="V12" s="14">
        <v>0.60499999999999998</v>
      </c>
      <c r="W12" s="14">
        <v>1.819</v>
      </c>
      <c r="X12" s="14">
        <v>2.702</v>
      </c>
      <c r="Y12" s="14">
        <v>2.9939999999999998</v>
      </c>
      <c r="Z12" s="14">
        <v>3.0280000000000005</v>
      </c>
      <c r="AA12" s="14">
        <v>2.9743888199999997</v>
      </c>
      <c r="AB12" s="14">
        <v>3.0060000000000002</v>
      </c>
      <c r="AC12" s="14">
        <v>2.948</v>
      </c>
      <c r="AD12" s="14">
        <v>2.9363950000000001</v>
      </c>
      <c r="AE12" s="14">
        <v>2.85</v>
      </c>
      <c r="AF12" s="14">
        <v>3.0960000000000001</v>
      </c>
      <c r="AG12" s="14">
        <v>3.3879999999999999</v>
      </c>
      <c r="AH12" s="14">
        <v>3.44</v>
      </c>
      <c r="AI12" s="14">
        <v>3.29</v>
      </c>
      <c r="AJ12" s="14">
        <v>2.9750000000000001</v>
      </c>
      <c r="AK12" s="14">
        <v>4.056</v>
      </c>
      <c r="AL12" s="14">
        <v>6.508</v>
      </c>
      <c r="AM12" s="14">
        <v>4.9180000000000001</v>
      </c>
      <c r="AN12" s="14">
        <v>2.8697129999999995</v>
      </c>
      <c r="AO12" s="14">
        <v>2.3719999999999999</v>
      </c>
      <c r="AP12" s="14">
        <v>3.2749999999999999</v>
      </c>
      <c r="AQ12" s="14">
        <v>2.4860000000000002</v>
      </c>
      <c r="AR12" s="14">
        <v>4.6079999999999997</v>
      </c>
      <c r="AS12" s="14">
        <v>3.5709999999999997</v>
      </c>
      <c r="AT12" s="14">
        <v>4.0090000000000003</v>
      </c>
      <c r="AU12" s="14">
        <v>4.2439999999999998</v>
      </c>
      <c r="AV12" s="14">
        <v>3.8819999999999997</v>
      </c>
      <c r="AW12" s="14">
        <v>3.3380000000000001</v>
      </c>
      <c r="AX12" s="14">
        <v>3.3339999999999996</v>
      </c>
      <c r="AY12" s="14">
        <v>3.2069999999999999</v>
      </c>
      <c r="AZ12" s="14">
        <v>3.0489999999999999</v>
      </c>
      <c r="BA12" s="14">
        <v>3.0489999999999999</v>
      </c>
      <c r="BB12" s="14">
        <v>3.157</v>
      </c>
      <c r="BC12" s="14">
        <v>2.8170000000000002</v>
      </c>
      <c r="BD12" s="14">
        <v>1.5672745947007907</v>
      </c>
      <c r="BE12" s="14">
        <v>0.88755883953158277</v>
      </c>
      <c r="BF12" s="14">
        <v>0.96987580885426428</v>
      </c>
      <c r="BG12" s="14">
        <v>0.97083656182465861</v>
      </c>
      <c r="BH12" s="14">
        <v>1.1059999999999999</v>
      </c>
      <c r="BI12" s="14">
        <v>1.4610000000000001</v>
      </c>
      <c r="BJ12" s="14">
        <v>1.248</v>
      </c>
      <c r="BK12" s="14">
        <v>1.4610000000000001</v>
      </c>
      <c r="BL12" s="14">
        <v>1.677</v>
      </c>
      <c r="BM12" s="14">
        <v>1.9259999999999999</v>
      </c>
      <c r="BN12" s="14">
        <v>2.5670000000000002</v>
      </c>
      <c r="BO12" s="14">
        <v>3.1879999999999997</v>
      </c>
      <c r="BP12" s="14">
        <v>2.8039999999999998</v>
      </c>
      <c r="BQ12" s="14">
        <v>2.6309999999999998</v>
      </c>
      <c r="BR12" s="14">
        <v>3.4039999999999999</v>
      </c>
      <c r="BS12" s="14">
        <v>2.823</v>
      </c>
      <c r="BT12" s="14">
        <v>2.0269999999999997</v>
      </c>
      <c r="BU12" s="14">
        <v>2.8540000000000001</v>
      </c>
      <c r="BV12" s="14">
        <v>4.2789999999999999</v>
      </c>
      <c r="BW12" s="14">
        <v>3.97</v>
      </c>
      <c r="BX12" s="14">
        <v>3.0679999999999996</v>
      </c>
      <c r="BY12" s="14">
        <v>3.0670000000000002</v>
      </c>
      <c r="BZ12" s="14">
        <v>3.3339999999999996</v>
      </c>
      <c r="CA12" s="14">
        <v>3.056</v>
      </c>
      <c r="CB12" s="14">
        <v>3.5656873899999999</v>
      </c>
      <c r="CC12" s="14">
        <v>3.9723527873974938</v>
      </c>
      <c r="CD12" s="14">
        <v>4.68531779</v>
      </c>
      <c r="CE12" s="14">
        <v>4.0937906799999997</v>
      </c>
      <c r="CF12" s="14">
        <v>3.8045732299999999</v>
      </c>
      <c r="CG12" s="14">
        <v>4.6930116399999999</v>
      </c>
      <c r="CH12" s="14">
        <v>3.6778020900000001</v>
      </c>
      <c r="CI12" s="14">
        <v>3.4397188700000001</v>
      </c>
      <c r="CJ12" s="14">
        <v>4.1630181099999994</v>
      </c>
      <c r="CK12" s="14">
        <v>4.29000453</v>
      </c>
      <c r="CL12" s="14">
        <v>4.6681468199999996</v>
      </c>
      <c r="CM12" s="14">
        <v>4.1596077400000002</v>
      </c>
      <c r="CN12" s="14">
        <v>5.7118020000000005</v>
      </c>
      <c r="CO12" s="14">
        <v>12.648064570000001</v>
      </c>
      <c r="CP12" s="14">
        <v>9.3948223500000001</v>
      </c>
      <c r="CQ12" s="14">
        <v>6.4495535200000003</v>
      </c>
      <c r="CR12" s="14">
        <v>4.4719980900000005</v>
      </c>
      <c r="CS12" s="14">
        <v>4.1096600299999997</v>
      </c>
      <c r="CT12" s="14">
        <v>4.25578038</v>
      </c>
      <c r="CU12" s="14">
        <v>4.1930857219357272</v>
      </c>
      <c r="CV12" s="14">
        <v>4.3534226059999996</v>
      </c>
      <c r="CW12" s="14">
        <v>4.2950294400000004</v>
      </c>
      <c r="CX12" s="14">
        <v>5.3643378990000006</v>
      </c>
      <c r="CY12" s="14">
        <v>7.3115747900000008</v>
      </c>
      <c r="CZ12" s="14">
        <v>18.659087029999998</v>
      </c>
      <c r="DA12" s="14">
        <v>13.808536539999999</v>
      </c>
      <c r="DB12" s="14">
        <v>12.845060899936225</v>
      </c>
      <c r="DC12" s="14">
        <v>10.787857630133335</v>
      </c>
      <c r="DD12" s="14">
        <v>12.76676445</v>
      </c>
      <c r="DE12" s="14">
        <v>7.0236558993555525</v>
      </c>
      <c r="DF12" s="14">
        <v>8.6241184900000007</v>
      </c>
      <c r="DG12" s="14">
        <v>7.9864232599999996</v>
      </c>
    </row>
    <row r="13" spans="1:111" x14ac:dyDescent="0.3">
      <c r="A13" s="2" t="s">
        <v>5</v>
      </c>
      <c r="B13" s="59"/>
      <c r="C13" s="59"/>
      <c r="D13" s="59"/>
      <c r="E13" s="59"/>
      <c r="F13" s="59"/>
      <c r="G13" s="59"/>
      <c r="H13" s="59"/>
      <c r="I13" s="59"/>
      <c r="J13" s="14">
        <v>0</v>
      </c>
      <c r="K13" s="14">
        <v>0.96</v>
      </c>
      <c r="L13" s="14">
        <v>0</v>
      </c>
      <c r="M13" s="14">
        <v>0</v>
      </c>
      <c r="N13" s="14">
        <v>0</v>
      </c>
      <c r="O13" s="14">
        <v>0</v>
      </c>
      <c r="P13" s="14">
        <v>5.4501499999999998</v>
      </c>
      <c r="Q13" s="14">
        <v>6.9938999999999991</v>
      </c>
      <c r="R13" s="14">
        <v>5.9130000000000003</v>
      </c>
      <c r="S13" s="14">
        <v>7.0322000000000005</v>
      </c>
      <c r="T13" s="14">
        <v>9.3070000000000004</v>
      </c>
      <c r="U13" s="14">
        <v>12.898</v>
      </c>
      <c r="V13" s="14">
        <v>28.326000000000001</v>
      </c>
      <c r="W13" s="14">
        <v>13.561999999999999</v>
      </c>
      <c r="X13" s="14">
        <v>30.509</v>
      </c>
      <c r="Y13" s="14">
        <v>38.14</v>
      </c>
      <c r="Z13" s="14">
        <v>10.379000000000001</v>
      </c>
      <c r="AA13" s="14">
        <v>1.5597999699999998</v>
      </c>
      <c r="AB13" s="14">
        <v>9.0180000000000007</v>
      </c>
      <c r="AC13" s="14">
        <v>4.4960000000000004</v>
      </c>
      <c r="AD13" s="14">
        <v>2.1989999999999998</v>
      </c>
      <c r="AE13" s="14">
        <v>2.89</v>
      </c>
      <c r="AF13" s="14">
        <v>11.039</v>
      </c>
      <c r="AG13" s="14">
        <v>11.818</v>
      </c>
      <c r="AH13" s="14">
        <v>12.324</v>
      </c>
      <c r="AI13" s="14">
        <v>3.1790000000000003</v>
      </c>
      <c r="AJ13" s="14">
        <v>17.57</v>
      </c>
      <c r="AK13" s="14">
        <v>6.32</v>
      </c>
      <c r="AL13" s="14">
        <v>12.488</v>
      </c>
      <c r="AM13" s="14">
        <v>19.350999999999999</v>
      </c>
      <c r="AN13" s="14">
        <v>14.384000000000002</v>
      </c>
      <c r="AO13" s="14">
        <v>12.264000000000001</v>
      </c>
      <c r="AP13" s="14">
        <v>8.9760000000000009</v>
      </c>
      <c r="AQ13" s="14">
        <v>14.73</v>
      </c>
      <c r="AR13" s="14">
        <v>14.25</v>
      </c>
      <c r="AS13" s="14">
        <v>18.712</v>
      </c>
      <c r="AT13" s="14">
        <v>15.271000000000001</v>
      </c>
      <c r="AU13" s="14">
        <v>11.664</v>
      </c>
      <c r="AV13" s="14">
        <v>10.32</v>
      </c>
      <c r="AW13" s="14">
        <v>10.929</v>
      </c>
      <c r="AX13" s="14">
        <v>9.1609999999999996</v>
      </c>
      <c r="AY13" s="14">
        <v>15.345999999999998</v>
      </c>
      <c r="AZ13" s="14">
        <v>14.792999999999999</v>
      </c>
      <c r="BA13" s="14">
        <v>19.186999999999998</v>
      </c>
      <c r="BB13" s="14">
        <v>19.391999999999999</v>
      </c>
      <c r="BC13" s="14">
        <v>20.445999999999998</v>
      </c>
      <c r="BD13" s="14">
        <v>9.58</v>
      </c>
      <c r="BE13" s="14">
        <v>21.908065000000001</v>
      </c>
      <c r="BF13" s="14">
        <v>20.8</v>
      </c>
      <c r="BG13" s="14">
        <v>20.722000000000001</v>
      </c>
      <c r="BH13" s="14">
        <v>27.707000000000001</v>
      </c>
      <c r="BI13" s="14">
        <v>32.325000000000003</v>
      </c>
      <c r="BJ13" s="14">
        <v>31.286000000000001</v>
      </c>
      <c r="BK13" s="14">
        <v>31.618000000000002</v>
      </c>
      <c r="BL13" s="14">
        <v>34.870999999999995</v>
      </c>
      <c r="BM13" s="14">
        <v>18.367000000000001</v>
      </c>
      <c r="BN13" s="14">
        <v>8.2349999999999994</v>
      </c>
      <c r="BO13" s="14">
        <v>4.3079999999999998</v>
      </c>
      <c r="BP13" s="14">
        <v>11.547000000000001</v>
      </c>
      <c r="BQ13" s="14">
        <v>20.762</v>
      </c>
      <c r="BR13" s="14">
        <v>11.946000000000002</v>
      </c>
      <c r="BS13" s="14">
        <v>6.0190000000000001</v>
      </c>
      <c r="BT13" s="14">
        <v>5.0380000000000003</v>
      </c>
      <c r="BU13" s="14">
        <v>4.8330000000000002</v>
      </c>
      <c r="BV13" s="14">
        <v>8.9619999999999997</v>
      </c>
      <c r="BW13" s="14">
        <v>4.2409999999999997</v>
      </c>
      <c r="BX13" s="14">
        <v>10.548999999999999</v>
      </c>
      <c r="BY13" s="14">
        <v>14.724</v>
      </c>
      <c r="BZ13" s="14">
        <v>2.774</v>
      </c>
      <c r="CA13" s="14">
        <v>2.0300000000000002</v>
      </c>
      <c r="CB13" s="14">
        <v>1.1359429999999999</v>
      </c>
      <c r="CC13" s="14">
        <v>0.90818900000000002</v>
      </c>
      <c r="CD13" s="14">
        <v>1.7810115099999999</v>
      </c>
      <c r="CE13" s="14">
        <v>3.7172580000000002</v>
      </c>
      <c r="CF13" s="14">
        <v>2.7346219999999999</v>
      </c>
      <c r="CG13" s="14">
        <v>3.240561</v>
      </c>
      <c r="CH13" s="14">
        <v>1.615111</v>
      </c>
      <c r="CI13" s="14">
        <v>0.22937689999999999</v>
      </c>
      <c r="CJ13" s="14">
        <v>1.7396869399999999</v>
      </c>
      <c r="CK13" s="14">
        <v>1.3581464999999999</v>
      </c>
      <c r="CL13" s="14">
        <v>0.1404</v>
      </c>
      <c r="CM13" s="14">
        <v>1.1700440000000001E-2</v>
      </c>
      <c r="CN13" s="14">
        <v>1.0399999999999999E-3</v>
      </c>
      <c r="CO13" s="14">
        <v>0.10104662</v>
      </c>
      <c r="CP13" s="14">
        <v>5.4586596000000001E-2</v>
      </c>
      <c r="CQ13" s="14">
        <v>8.0467999999999998E-2</v>
      </c>
      <c r="CR13" s="14">
        <v>9.8599999999999993E-2</v>
      </c>
      <c r="CS13" s="14">
        <v>0</v>
      </c>
      <c r="CT13" s="14">
        <v>0.06</v>
      </c>
      <c r="CU13" s="14">
        <v>35.591074397</v>
      </c>
      <c r="CV13" s="14">
        <v>86.826689380000005</v>
      </c>
      <c r="CW13" s="14">
        <v>81.787089260000002</v>
      </c>
      <c r="CX13" s="14">
        <v>91.952398030869176</v>
      </c>
      <c r="CY13" s="14">
        <v>78.975731929999995</v>
      </c>
      <c r="CZ13" s="14">
        <v>74.993073175000006</v>
      </c>
      <c r="DA13" s="14">
        <v>187.74327592699996</v>
      </c>
      <c r="DB13" s="14">
        <v>77.310675403225957</v>
      </c>
      <c r="DC13" s="14">
        <v>77.873807745219921</v>
      </c>
      <c r="DD13" s="14">
        <v>84.159144161535153</v>
      </c>
      <c r="DE13" s="14">
        <v>103.96194247247435</v>
      </c>
      <c r="DF13" s="14">
        <v>127.17100478</v>
      </c>
      <c r="DG13" s="14">
        <v>199.59406332999998</v>
      </c>
    </row>
    <row r="14" spans="1:111" x14ac:dyDescent="0.3">
      <c r="A14" s="2" t="s">
        <v>6</v>
      </c>
      <c r="B14" s="59"/>
      <c r="C14" s="59"/>
      <c r="D14" s="59"/>
      <c r="E14" s="59"/>
      <c r="F14" s="59"/>
      <c r="G14" s="59"/>
      <c r="H14" s="59"/>
      <c r="I14" s="59"/>
      <c r="J14" s="14">
        <v>1.3180000000000001</v>
      </c>
      <c r="K14" s="14">
        <v>0.79500000000000004</v>
      </c>
      <c r="L14" s="14">
        <v>0.48699999999999999</v>
      </c>
      <c r="M14" s="14">
        <v>1.69</v>
      </c>
      <c r="N14" s="14">
        <v>0.13500000000000001</v>
      </c>
      <c r="O14" s="14">
        <v>6.6000000000000003E-2</v>
      </c>
      <c r="P14" s="14">
        <v>1.528</v>
      </c>
      <c r="Q14" s="14">
        <v>1.5799999999999998</v>
      </c>
      <c r="R14" s="14">
        <v>0.435</v>
      </c>
      <c r="S14" s="14">
        <v>2.0640000000000001</v>
      </c>
      <c r="T14" s="14">
        <v>4.0360417515000009</v>
      </c>
      <c r="U14" s="14">
        <v>6.7231599435000007</v>
      </c>
      <c r="V14" s="14">
        <v>3.3307095000000002</v>
      </c>
      <c r="W14" s="14">
        <v>0.3034</v>
      </c>
      <c r="X14" s="14">
        <v>12.143999999999998</v>
      </c>
      <c r="Y14" s="14">
        <v>12.856000000000002</v>
      </c>
      <c r="Z14" s="14">
        <v>3.5939999999999994</v>
      </c>
      <c r="AA14" s="14">
        <v>0.73</v>
      </c>
      <c r="AB14" s="14">
        <v>4.3150000000000004</v>
      </c>
      <c r="AC14" s="14">
        <v>2.7430000000000003</v>
      </c>
      <c r="AD14" s="14">
        <v>0.41700000000000004</v>
      </c>
      <c r="AE14" s="14">
        <v>0</v>
      </c>
      <c r="AF14" s="14">
        <v>7.4050000000000002</v>
      </c>
      <c r="AG14" s="14">
        <v>3.0049999999999999</v>
      </c>
      <c r="AH14" s="14">
        <v>1.2010000000000001</v>
      </c>
      <c r="AI14" s="14">
        <v>0.09</v>
      </c>
      <c r="AJ14" s="14">
        <v>11.635</v>
      </c>
      <c r="AK14" s="14">
        <v>9.5730000000000004</v>
      </c>
      <c r="AL14" s="14">
        <v>0.77700000000000002</v>
      </c>
      <c r="AM14" s="14">
        <v>0.14799999999999999</v>
      </c>
      <c r="AN14" s="14">
        <v>6.5909999999999993</v>
      </c>
      <c r="AO14" s="14">
        <v>6.5630000000000006</v>
      </c>
      <c r="AP14" s="14">
        <v>1.5632000000000001</v>
      </c>
      <c r="AQ14" s="14">
        <v>9.6000000000000009E-3</v>
      </c>
      <c r="AR14" s="14">
        <v>10.672000000000001</v>
      </c>
      <c r="AS14" s="14">
        <v>5.7552000000000003</v>
      </c>
      <c r="AT14" s="14">
        <v>1.4780000000000002</v>
      </c>
      <c r="AU14" s="14">
        <v>0.19500000000000001</v>
      </c>
      <c r="AV14" s="14">
        <v>11.347</v>
      </c>
      <c r="AW14" s="14">
        <v>3.86</v>
      </c>
      <c r="AX14" s="14">
        <v>2.9749999999999996</v>
      </c>
      <c r="AY14" s="14">
        <v>1.571</v>
      </c>
      <c r="AZ14" s="14">
        <v>25.341999999999999</v>
      </c>
      <c r="BA14" s="14">
        <v>12.948</v>
      </c>
      <c r="BB14" s="14">
        <v>5.4809999999999999</v>
      </c>
      <c r="BC14" s="14">
        <v>1.0569999999999999</v>
      </c>
      <c r="BD14" s="14">
        <v>18.051596625922766</v>
      </c>
      <c r="BE14" s="14">
        <v>17.025951970870217</v>
      </c>
      <c r="BF14" s="14">
        <v>1.8525597897531982</v>
      </c>
      <c r="BG14" s="14">
        <v>1.2798916134538261</v>
      </c>
      <c r="BH14" s="14">
        <v>4.7229999999999999</v>
      </c>
      <c r="BI14" s="14">
        <v>4.7290000000000001</v>
      </c>
      <c r="BJ14" s="14">
        <v>1.077</v>
      </c>
      <c r="BK14" s="14">
        <v>1.3210000000000002</v>
      </c>
      <c r="BL14" s="14">
        <v>8.3840000000000003</v>
      </c>
      <c r="BM14" s="14">
        <v>8.891</v>
      </c>
      <c r="BN14" s="14">
        <v>3.3769999999999998</v>
      </c>
      <c r="BO14" s="14">
        <v>1.8449999999999998</v>
      </c>
      <c r="BP14" s="14">
        <v>5.9420000000000002</v>
      </c>
      <c r="BQ14" s="14">
        <v>8.7399999999999984</v>
      </c>
      <c r="BR14" s="14">
        <v>1.96</v>
      </c>
      <c r="BS14" s="14">
        <v>0.88300000000000001</v>
      </c>
      <c r="BT14" s="14">
        <v>11.683</v>
      </c>
      <c r="BU14" s="14">
        <v>5.5839999999999996</v>
      </c>
      <c r="BV14" s="14">
        <v>1.3370000000000002</v>
      </c>
      <c r="BW14" s="14">
        <v>1.0329999999999999</v>
      </c>
      <c r="BX14" s="14">
        <v>5.9809999999999999</v>
      </c>
      <c r="BY14" s="14">
        <v>8.6829999999999998</v>
      </c>
      <c r="BZ14" s="14">
        <v>0.8</v>
      </c>
      <c r="CA14" s="14">
        <v>5.7219999999999995</v>
      </c>
      <c r="CB14" s="14">
        <v>53.40678350999999</v>
      </c>
      <c r="CC14" s="14">
        <v>23.022248519999998</v>
      </c>
      <c r="CD14" s="14">
        <v>5.5350286899999954</v>
      </c>
      <c r="CE14" s="14">
        <v>3.9117774599999993</v>
      </c>
      <c r="CF14" s="14">
        <v>37.029885690000015</v>
      </c>
      <c r="CG14" s="14">
        <v>31.114089079999999</v>
      </c>
      <c r="CH14" s="14">
        <v>4.3772856000000004</v>
      </c>
      <c r="CI14" s="14">
        <v>3.47652809</v>
      </c>
      <c r="CJ14" s="14">
        <v>14.82627969</v>
      </c>
      <c r="CK14" s="14">
        <v>13.775135950000006</v>
      </c>
      <c r="CL14" s="14">
        <v>1.5424978400000005</v>
      </c>
      <c r="CM14" s="14">
        <v>1.2779998299999997</v>
      </c>
      <c r="CN14" s="14">
        <v>9.739315064000003</v>
      </c>
      <c r="CO14" s="14">
        <v>9.1910085277628362</v>
      </c>
      <c r="CP14" s="14">
        <v>1.7184136970000004</v>
      </c>
      <c r="CQ14" s="14">
        <v>1.1857685090000001</v>
      </c>
      <c r="CR14" s="14">
        <v>9.1452807249999957</v>
      </c>
      <c r="CS14" s="14">
        <v>6.1328338780000013</v>
      </c>
      <c r="CT14" s="14">
        <v>3.9900696030000011</v>
      </c>
      <c r="CU14" s="14">
        <v>1.2972880101577289</v>
      </c>
      <c r="CV14" s="14">
        <v>7.3460259710000031</v>
      </c>
      <c r="CW14" s="14">
        <v>11.658720707999997</v>
      </c>
      <c r="CX14" s="14">
        <v>6.6118567079570871</v>
      </c>
      <c r="CY14" s="14">
        <v>5.8143510385560537</v>
      </c>
      <c r="CZ14" s="14">
        <v>20.644862114000002</v>
      </c>
      <c r="DA14" s="14">
        <v>15.238970032248833</v>
      </c>
      <c r="DB14" s="14">
        <v>2.7656707087059904</v>
      </c>
      <c r="DC14" s="14">
        <v>12.046674884376937</v>
      </c>
      <c r="DD14" s="14">
        <v>18.428878843710873</v>
      </c>
      <c r="DE14" s="14">
        <v>7.9171414758639944</v>
      </c>
      <c r="DF14" s="14">
        <v>7.7515250900000003</v>
      </c>
      <c r="DG14" s="14">
        <v>10.238598819999998</v>
      </c>
    </row>
    <row r="15" spans="1:111" x14ac:dyDescent="0.3">
      <c r="A15" s="2" t="s">
        <v>7</v>
      </c>
      <c r="B15" s="59"/>
      <c r="C15" s="59"/>
      <c r="D15" s="59"/>
      <c r="E15" s="59"/>
      <c r="F15" s="59"/>
      <c r="G15" s="59"/>
      <c r="H15" s="59"/>
      <c r="I15" s="59"/>
      <c r="J15" s="14">
        <v>3.0934245000000002</v>
      </c>
      <c r="K15" s="14">
        <v>3.0173266999999999</v>
      </c>
      <c r="L15" s="14">
        <v>2.4416652500000002</v>
      </c>
      <c r="M15" s="14">
        <v>3.5473434500000001</v>
      </c>
      <c r="N15" s="14">
        <v>2.8547815000000001</v>
      </c>
      <c r="O15" s="14">
        <v>3.0227182499999996</v>
      </c>
      <c r="P15" s="14">
        <v>2.0306920000000002</v>
      </c>
      <c r="Q15" s="14">
        <v>1.4726939999999999</v>
      </c>
      <c r="R15" s="14">
        <v>1.6709619999999998</v>
      </c>
      <c r="S15" s="14">
        <v>1.9684500000000003</v>
      </c>
      <c r="T15" s="14">
        <v>2.5675720000000002</v>
      </c>
      <c r="U15" s="14">
        <v>3.8146500000000003</v>
      </c>
      <c r="V15" s="14">
        <v>3.9843679600000002</v>
      </c>
      <c r="W15" s="14">
        <v>4.9386670000000006</v>
      </c>
      <c r="X15" s="14">
        <v>5.0257249999999996</v>
      </c>
      <c r="Y15" s="14">
        <v>7.3724949999999989</v>
      </c>
      <c r="Z15" s="14">
        <v>8.0220859999999998</v>
      </c>
      <c r="AA15" s="14">
        <v>10.063669000000001</v>
      </c>
      <c r="AB15" s="14">
        <v>11.334790999999999</v>
      </c>
      <c r="AC15" s="14">
        <v>5.6123089999999998</v>
      </c>
      <c r="AD15" s="14">
        <v>4.6211599999999997</v>
      </c>
      <c r="AE15" s="14">
        <v>6.6124089999999995</v>
      </c>
      <c r="AF15" s="14">
        <v>6.1379999999999999</v>
      </c>
      <c r="AG15" s="14">
        <v>5.2959999999999994</v>
      </c>
      <c r="AH15" s="14">
        <v>3.544</v>
      </c>
      <c r="AI15" s="14">
        <v>7.3920000000000003</v>
      </c>
      <c r="AJ15" s="14">
        <v>9.8000000000000007</v>
      </c>
      <c r="AK15" s="14">
        <v>11.14</v>
      </c>
      <c r="AL15" s="14">
        <v>8.9499999999999993</v>
      </c>
      <c r="AM15" s="14">
        <v>11.13</v>
      </c>
      <c r="AN15" s="14">
        <v>8.9179999999999993</v>
      </c>
      <c r="AO15" s="14">
        <v>6.9349999999999996</v>
      </c>
      <c r="AP15" s="14">
        <v>7.1669999999999998</v>
      </c>
      <c r="AQ15" s="14">
        <v>7.4109999999999996</v>
      </c>
      <c r="AR15" s="14">
        <v>5.4909676900000006</v>
      </c>
      <c r="AS15" s="14">
        <v>6.7819999999999991</v>
      </c>
      <c r="AT15" s="14">
        <v>5.49</v>
      </c>
      <c r="AU15" s="14">
        <v>8.08</v>
      </c>
      <c r="AV15" s="14">
        <v>7.3329040800000005</v>
      </c>
      <c r="AW15" s="14">
        <v>8.5525829800000004</v>
      </c>
      <c r="AX15" s="14">
        <v>9.0422084100000006</v>
      </c>
      <c r="AY15" s="14">
        <v>11.346208860000001</v>
      </c>
      <c r="AZ15" s="14">
        <v>8.9619999999999997</v>
      </c>
      <c r="BA15" s="14">
        <v>9.9</v>
      </c>
      <c r="BB15" s="14">
        <v>6.0210000000000008</v>
      </c>
      <c r="BC15" s="14">
        <v>10.576000000000001</v>
      </c>
      <c r="BD15" s="14">
        <v>6.2770694821039994</v>
      </c>
      <c r="BE15" s="14">
        <v>9.702843461632586</v>
      </c>
      <c r="BF15" s="14">
        <v>8.3704529496712929</v>
      </c>
      <c r="BG15" s="14">
        <v>9.6186341065921219</v>
      </c>
      <c r="BH15" s="14">
        <v>3.9660000000000002</v>
      </c>
      <c r="BI15" s="14">
        <v>4.2030000000000003</v>
      </c>
      <c r="BJ15" s="14">
        <v>9.36</v>
      </c>
      <c r="BK15" s="14">
        <v>12.860999999999999</v>
      </c>
      <c r="BL15" s="14">
        <v>11.507</v>
      </c>
      <c r="BM15" s="14">
        <v>12.216000000000001</v>
      </c>
      <c r="BN15" s="14">
        <v>10.815999999999999</v>
      </c>
      <c r="BO15" s="14">
        <v>13.09</v>
      </c>
      <c r="BP15" s="14">
        <v>10.471</v>
      </c>
      <c r="BQ15" s="14">
        <v>12.38</v>
      </c>
      <c r="BR15" s="14">
        <v>11.025</v>
      </c>
      <c r="BS15" s="14">
        <v>13.47</v>
      </c>
      <c r="BT15" s="14">
        <v>12.187000000000001</v>
      </c>
      <c r="BU15" s="14">
        <v>13.483000000000001</v>
      </c>
      <c r="BV15" s="14">
        <v>11.229000000000001</v>
      </c>
      <c r="BW15" s="14">
        <v>21.715</v>
      </c>
      <c r="BX15" s="14">
        <v>18.378</v>
      </c>
      <c r="BY15" s="14">
        <v>19.61</v>
      </c>
      <c r="BZ15" s="14">
        <v>13.340999999999999</v>
      </c>
      <c r="CA15" s="14">
        <v>16.926000000000002</v>
      </c>
      <c r="CB15" s="14">
        <v>14.467132060000001</v>
      </c>
      <c r="CC15" s="14">
        <v>18.868820240000009</v>
      </c>
      <c r="CD15" s="14">
        <v>18.520377199999999</v>
      </c>
      <c r="CE15" s="14">
        <v>19.958287840000004</v>
      </c>
      <c r="CF15" s="14">
        <v>14.641223849999998</v>
      </c>
      <c r="CG15" s="14">
        <v>18.46563128</v>
      </c>
      <c r="CH15" s="14">
        <v>19.38704345</v>
      </c>
      <c r="CI15" s="14">
        <v>21.409347399999998</v>
      </c>
      <c r="CJ15" s="14">
        <v>20.982134609999992</v>
      </c>
      <c r="CK15" s="14">
        <v>24.416832199999998</v>
      </c>
      <c r="CL15" s="14">
        <v>16.009754570000002</v>
      </c>
      <c r="CM15" s="14">
        <v>24.214682240000009</v>
      </c>
      <c r="CN15" s="14">
        <v>16.752874068244594</v>
      </c>
      <c r="CO15" s="14">
        <v>26.242594551600682</v>
      </c>
      <c r="CP15" s="14">
        <v>19.626854662522362</v>
      </c>
      <c r="CQ15" s="14">
        <v>22.077321366692978</v>
      </c>
      <c r="CR15" s="14">
        <v>13.047621551379574</v>
      </c>
      <c r="CS15" s="14">
        <v>18.621091211533383</v>
      </c>
      <c r="CT15" s="14">
        <v>17.97820679605648</v>
      </c>
      <c r="CU15" s="14">
        <v>20.293796337999034</v>
      </c>
      <c r="CV15" s="14">
        <v>15.75983467741329</v>
      </c>
      <c r="CW15" s="14">
        <v>20.464722306534689</v>
      </c>
      <c r="CX15" s="14">
        <v>16.107164713190105</v>
      </c>
      <c r="CY15" s="14">
        <v>19.244932548523295</v>
      </c>
      <c r="CZ15" s="14">
        <v>13.766843065731758</v>
      </c>
      <c r="DA15" s="14">
        <v>18.743659550688154</v>
      </c>
      <c r="DB15" s="14">
        <v>18.262446478001408</v>
      </c>
      <c r="DC15" s="14">
        <v>28.951602333453323</v>
      </c>
      <c r="DD15" s="14">
        <v>17.48039038802041</v>
      </c>
      <c r="DE15" s="14">
        <v>26.915070048077531</v>
      </c>
      <c r="DF15" s="14">
        <v>21.004144920000002</v>
      </c>
      <c r="DG15" s="14">
        <v>23.47707117000002</v>
      </c>
    </row>
    <row r="16" spans="1:111" x14ac:dyDescent="0.3">
      <c r="A16" s="2" t="s">
        <v>8</v>
      </c>
      <c r="B16" s="59"/>
      <c r="C16" s="59"/>
      <c r="D16" s="59"/>
      <c r="E16" s="59"/>
      <c r="F16" s="59"/>
      <c r="G16" s="59"/>
      <c r="H16" s="59"/>
      <c r="I16" s="59"/>
      <c r="J16" s="14">
        <v>1.7210000000000001</v>
      </c>
      <c r="K16" s="14">
        <v>1.2989999999999999</v>
      </c>
      <c r="L16" s="14">
        <v>2.258</v>
      </c>
      <c r="M16" s="14">
        <v>0.629</v>
      </c>
      <c r="N16" s="14">
        <v>0.63200000000000001</v>
      </c>
      <c r="O16" s="14">
        <v>3.056</v>
      </c>
      <c r="P16" s="14">
        <v>2.601</v>
      </c>
      <c r="Q16" s="14">
        <v>1.7970000000000002</v>
      </c>
      <c r="R16" s="14">
        <v>1.9970000000000003</v>
      </c>
      <c r="S16" s="14">
        <v>3.1030000000000002</v>
      </c>
      <c r="T16" s="14">
        <v>2.13</v>
      </c>
      <c r="U16" s="14">
        <v>0.71100000000000008</v>
      </c>
      <c r="V16" s="14">
        <v>0.57200000000000006</v>
      </c>
      <c r="W16" s="14">
        <v>1.4990000000000001</v>
      </c>
      <c r="X16" s="14">
        <v>5.25</v>
      </c>
      <c r="Y16" s="14">
        <v>1.286</v>
      </c>
      <c r="Z16" s="14">
        <v>1.3719999999999999</v>
      </c>
      <c r="AA16" s="14">
        <v>4.9295090000000004</v>
      </c>
      <c r="AB16" s="14">
        <v>2.633</v>
      </c>
      <c r="AC16" s="14">
        <v>1.8760000000000001</v>
      </c>
      <c r="AD16" s="14">
        <v>4.2889999999999997</v>
      </c>
      <c r="AE16" s="14">
        <v>8.8780000000000001</v>
      </c>
      <c r="AF16" s="14">
        <v>7.33</v>
      </c>
      <c r="AG16" s="14">
        <v>2.3660000000000001</v>
      </c>
      <c r="AH16" s="14">
        <v>2.4910000000000001</v>
      </c>
      <c r="AI16" s="14">
        <v>2.52</v>
      </c>
      <c r="AJ16" s="14">
        <v>7.5750000000000002</v>
      </c>
      <c r="AK16" s="14">
        <v>9.8460000000000001</v>
      </c>
      <c r="AL16" s="14">
        <v>1.222</v>
      </c>
      <c r="AM16" s="14">
        <v>6.2830000000000004</v>
      </c>
      <c r="AN16" s="14">
        <v>10.988</v>
      </c>
      <c r="AO16" s="14">
        <v>9.1509999999999998</v>
      </c>
      <c r="AP16" s="14">
        <v>3.9819999999999998</v>
      </c>
      <c r="AQ16" s="14">
        <v>7.0790000000000006</v>
      </c>
      <c r="AR16" s="14">
        <v>12.452</v>
      </c>
      <c r="AS16" s="14">
        <v>8.7569999999999997</v>
      </c>
      <c r="AT16" s="14">
        <v>4.1130000000000004</v>
      </c>
      <c r="AU16" s="14">
        <v>10.847999999999999</v>
      </c>
      <c r="AV16" s="14">
        <v>17.82</v>
      </c>
      <c r="AW16" s="14">
        <v>7.11</v>
      </c>
      <c r="AX16" s="14">
        <v>7.4569999999999999</v>
      </c>
      <c r="AY16" s="14">
        <v>6.0200000000000005</v>
      </c>
      <c r="AZ16" s="14">
        <v>15.187999999999999</v>
      </c>
      <c r="BA16" s="14">
        <v>7.4949999999999992</v>
      </c>
      <c r="BB16" s="14">
        <v>9.6189999999999998</v>
      </c>
      <c r="BC16" s="14">
        <v>8.032</v>
      </c>
      <c r="BD16" s="14">
        <v>8.7400131221509767</v>
      </c>
      <c r="BE16" s="14">
        <v>7.8806010331200573</v>
      </c>
      <c r="BF16" s="14">
        <v>6.4347123476549335</v>
      </c>
      <c r="BG16" s="14">
        <v>8.1322644970740328</v>
      </c>
      <c r="BH16" s="14">
        <v>5.49</v>
      </c>
      <c r="BI16" s="14">
        <v>12.507999999999999</v>
      </c>
      <c r="BJ16" s="14">
        <v>6.2279999999999998</v>
      </c>
      <c r="BK16" s="14">
        <v>3.363</v>
      </c>
      <c r="BL16" s="14">
        <v>21.884999999999998</v>
      </c>
      <c r="BM16" s="14">
        <v>15.260999999999999</v>
      </c>
      <c r="BN16" s="14">
        <v>7.3149999999999995</v>
      </c>
      <c r="BO16" s="14">
        <v>20.835000000000001</v>
      </c>
      <c r="BP16" s="14">
        <v>20.103000000000002</v>
      </c>
      <c r="BQ16" s="14">
        <v>16.234999999999999</v>
      </c>
      <c r="BR16" s="14">
        <v>13.305999999999999</v>
      </c>
      <c r="BS16" s="14">
        <v>23.082000000000001</v>
      </c>
      <c r="BT16" s="14">
        <v>16.082000000000001</v>
      </c>
      <c r="BU16" s="14">
        <v>10.164999999999999</v>
      </c>
      <c r="BV16" s="14">
        <v>17.212</v>
      </c>
      <c r="BW16" s="14">
        <v>18.236000000000001</v>
      </c>
      <c r="BX16" s="14">
        <v>23.216999999999999</v>
      </c>
      <c r="BY16" s="14">
        <v>17.95</v>
      </c>
      <c r="BZ16" s="14">
        <v>11.598000000000001</v>
      </c>
      <c r="CA16" s="14">
        <v>16.585999999999999</v>
      </c>
      <c r="CB16" s="14">
        <v>17.089677000000002</v>
      </c>
      <c r="CC16" s="14">
        <v>12.846221</v>
      </c>
      <c r="CD16" s="14">
        <v>9.6748318399999995</v>
      </c>
      <c r="CE16" s="14">
        <v>14.907930440000001</v>
      </c>
      <c r="CF16" s="14">
        <v>18.922085969999998</v>
      </c>
      <c r="CG16" s="14">
        <v>13.729474589999999</v>
      </c>
      <c r="CH16" s="14">
        <v>15.310641099999991</v>
      </c>
      <c r="CI16" s="14">
        <v>13.626668319999999</v>
      </c>
      <c r="CJ16" s="14">
        <v>20.977304050000001</v>
      </c>
      <c r="CK16" s="14">
        <v>22.80802804999999</v>
      </c>
      <c r="CL16" s="14">
        <v>23.74411224</v>
      </c>
      <c r="CM16" s="14">
        <v>47.411059490000014</v>
      </c>
      <c r="CN16" s="14">
        <v>19.541663217657046</v>
      </c>
      <c r="CO16" s="14">
        <v>3.3435594600731835</v>
      </c>
      <c r="CP16" s="14">
        <v>5.5705174529099271</v>
      </c>
      <c r="CQ16" s="14">
        <v>36.814671235681878</v>
      </c>
      <c r="CR16" s="14">
        <v>15.619564803399278</v>
      </c>
      <c r="CS16" s="14">
        <v>5.2168996520700261</v>
      </c>
      <c r="CT16" s="14">
        <v>14.287903093930922</v>
      </c>
      <c r="CU16" s="14">
        <v>38.010528745572046</v>
      </c>
      <c r="CV16" s="14">
        <v>15.280275893999997</v>
      </c>
      <c r="CW16" s="14">
        <v>5.6555947889999993</v>
      </c>
      <c r="CX16" s="14">
        <v>13.47781994655077</v>
      </c>
      <c r="CY16" s="14">
        <v>27.314663408999984</v>
      </c>
      <c r="CZ16" s="14">
        <v>2.2211480680230387</v>
      </c>
      <c r="DA16" s="14">
        <v>3.9324016521518255</v>
      </c>
      <c r="DB16" s="14">
        <v>14.775246199543176</v>
      </c>
      <c r="DC16" s="14">
        <v>25.288580501704061</v>
      </c>
      <c r="DD16" s="14">
        <v>11.068475872897231</v>
      </c>
      <c r="DE16" s="14">
        <v>3.0820185962888225</v>
      </c>
      <c r="DF16" s="14">
        <v>38.987889689999989</v>
      </c>
      <c r="DG16" s="14">
        <v>25.326381780000002</v>
      </c>
    </row>
    <row r="17" spans="1:111" x14ac:dyDescent="0.3">
      <c r="A17" s="2" t="s">
        <v>9</v>
      </c>
      <c r="B17" s="59"/>
      <c r="C17" s="59"/>
      <c r="D17" s="59"/>
      <c r="E17" s="59"/>
      <c r="F17" s="59"/>
      <c r="G17" s="59"/>
      <c r="H17" s="59"/>
      <c r="I17" s="59"/>
      <c r="J17" s="14">
        <v>1.9100000000000001</v>
      </c>
      <c r="K17" s="14">
        <v>3.5909999999999997</v>
      </c>
      <c r="L17" s="14">
        <v>2.6060000000000003</v>
      </c>
      <c r="M17" s="14">
        <v>2.9820000000000002</v>
      </c>
      <c r="N17" s="14">
        <v>2.9830000000000001</v>
      </c>
      <c r="O17" s="14">
        <v>5.0739999999999998</v>
      </c>
      <c r="P17" s="14">
        <v>3.782</v>
      </c>
      <c r="Q17" s="14">
        <v>5.1519999999999992</v>
      </c>
      <c r="R17" s="14">
        <v>8.2457337000000006</v>
      </c>
      <c r="S17" s="14">
        <v>6.883</v>
      </c>
      <c r="T17" s="14">
        <v>10.239000000000001</v>
      </c>
      <c r="U17" s="14">
        <v>12.227</v>
      </c>
      <c r="V17" s="14">
        <v>9.6129999999999995</v>
      </c>
      <c r="W17" s="14">
        <v>12.952</v>
      </c>
      <c r="X17" s="14">
        <v>6.702</v>
      </c>
      <c r="Y17" s="14">
        <v>5.3580000000000005</v>
      </c>
      <c r="Z17" s="14">
        <v>6.5140000000000002</v>
      </c>
      <c r="AA17" s="14">
        <v>11.489209000000001</v>
      </c>
      <c r="AB17" s="14">
        <v>5.6979999999999995</v>
      </c>
      <c r="AC17" s="14">
        <v>4.2830000000000004</v>
      </c>
      <c r="AD17" s="14">
        <v>12.795999999999999</v>
      </c>
      <c r="AE17" s="14">
        <v>16.631</v>
      </c>
      <c r="AF17" s="14">
        <v>12.743</v>
      </c>
      <c r="AG17" s="14">
        <v>5.3979999999999997</v>
      </c>
      <c r="AH17" s="14">
        <v>2.7490000000000001</v>
      </c>
      <c r="AI17" s="14">
        <v>4.1539999999999999</v>
      </c>
      <c r="AJ17" s="14">
        <v>5.44</v>
      </c>
      <c r="AK17" s="14">
        <v>6.3</v>
      </c>
      <c r="AL17" s="14">
        <v>7.8580000000000005</v>
      </c>
      <c r="AM17" s="14">
        <v>10.984999999999999</v>
      </c>
      <c r="AN17" s="14">
        <v>14.926000000000002</v>
      </c>
      <c r="AO17" s="14">
        <v>16.343</v>
      </c>
      <c r="AP17" s="14">
        <v>17.731881000000001</v>
      </c>
      <c r="AQ17" s="14">
        <v>23.151</v>
      </c>
      <c r="AR17" s="14">
        <v>20.530999999999999</v>
      </c>
      <c r="AS17" s="14">
        <v>19.434000000000001</v>
      </c>
      <c r="AT17" s="14">
        <v>19.783000000000001</v>
      </c>
      <c r="AU17" s="14">
        <v>20.094000000000001</v>
      </c>
      <c r="AV17" s="14">
        <v>22.408000000000001</v>
      </c>
      <c r="AW17" s="14">
        <v>21.497999999999998</v>
      </c>
      <c r="AX17" s="14">
        <v>20.401</v>
      </c>
      <c r="AY17" s="14">
        <v>20.187999999999999</v>
      </c>
      <c r="AZ17" s="14">
        <v>25.655000000000001</v>
      </c>
      <c r="BA17" s="14">
        <v>22.571000000000002</v>
      </c>
      <c r="BB17" s="14">
        <v>23.736000000000001</v>
      </c>
      <c r="BC17" s="14">
        <v>29.082999999999998</v>
      </c>
      <c r="BD17" s="14">
        <v>33.395020424477401</v>
      </c>
      <c r="BE17" s="14">
        <v>34.650077839949923</v>
      </c>
      <c r="BF17" s="14">
        <v>32.072141281670525</v>
      </c>
      <c r="BG17" s="14">
        <v>39.506760453902174</v>
      </c>
      <c r="BH17" s="14">
        <v>35.067999999999998</v>
      </c>
      <c r="BI17" s="14">
        <v>40.752000000000002</v>
      </c>
      <c r="BJ17" s="14">
        <v>34.750999999999998</v>
      </c>
      <c r="BK17" s="14">
        <v>37.258000000000003</v>
      </c>
      <c r="BL17" s="14">
        <v>37.652999999999999</v>
      </c>
      <c r="BM17" s="14">
        <v>31.004999999999999</v>
      </c>
      <c r="BN17" s="14">
        <v>28.421999999999997</v>
      </c>
      <c r="BO17" s="14">
        <v>31.031000000000002</v>
      </c>
      <c r="BP17" s="14">
        <v>30.497999999999998</v>
      </c>
      <c r="BQ17" s="14">
        <v>36.637999999999998</v>
      </c>
      <c r="BR17" s="14">
        <v>31.209</v>
      </c>
      <c r="BS17" s="14">
        <v>32.798000000000002</v>
      </c>
      <c r="BT17" s="14">
        <v>23.491</v>
      </c>
      <c r="BU17" s="14">
        <v>23.969000000000001</v>
      </c>
      <c r="BV17" s="14">
        <v>28.359000000000002</v>
      </c>
      <c r="BW17" s="14">
        <v>37.206000000000003</v>
      </c>
      <c r="BX17" s="14">
        <v>34.530999999999999</v>
      </c>
      <c r="BY17" s="14">
        <v>30.466999999999999</v>
      </c>
      <c r="BZ17" s="14">
        <v>29.625999999999998</v>
      </c>
      <c r="CA17" s="14">
        <v>39.194000000000003</v>
      </c>
      <c r="CB17" s="14">
        <v>38.598127270000006</v>
      </c>
      <c r="CC17" s="14">
        <v>35.769098999999997</v>
      </c>
      <c r="CD17" s="14">
        <v>28.638232939999995</v>
      </c>
      <c r="CE17" s="14">
        <v>39.46259354</v>
      </c>
      <c r="CF17" s="14">
        <v>36.747725949999989</v>
      </c>
      <c r="CG17" s="14">
        <v>32.958095869999987</v>
      </c>
      <c r="CH17" s="14">
        <v>25.791421740000008</v>
      </c>
      <c r="CI17" s="14">
        <v>25.804855559999993</v>
      </c>
      <c r="CJ17" s="14">
        <v>25.836565889999989</v>
      </c>
      <c r="CK17" s="14">
        <v>31.17641429</v>
      </c>
      <c r="CL17" s="14">
        <v>23.50807129</v>
      </c>
      <c r="CM17" s="14">
        <v>26.466042560000005</v>
      </c>
      <c r="CN17" s="14">
        <v>31.914419934977275</v>
      </c>
      <c r="CO17" s="14">
        <v>28.288549926709003</v>
      </c>
      <c r="CP17" s="14">
        <v>32.455329947365072</v>
      </c>
      <c r="CQ17" s="14">
        <v>41.426741485854926</v>
      </c>
      <c r="CR17" s="14">
        <v>32.601174790671806</v>
      </c>
      <c r="CS17" s="14">
        <v>30.333129994844413</v>
      </c>
      <c r="CT17" s="14">
        <v>26.368450801100163</v>
      </c>
      <c r="CU17" s="14">
        <v>28.256936797163839</v>
      </c>
      <c r="CV17" s="14">
        <v>32.621215852411112</v>
      </c>
      <c r="CW17" s="14">
        <v>27.898692065600148</v>
      </c>
      <c r="CX17" s="14">
        <v>26.06872017989615</v>
      </c>
      <c r="CY17" s="14">
        <v>35.207645824694659</v>
      </c>
      <c r="CZ17" s="14">
        <v>34.382546754723911</v>
      </c>
      <c r="DA17" s="14">
        <v>35.939768903380525</v>
      </c>
      <c r="DB17" s="14">
        <v>32.203011639195481</v>
      </c>
      <c r="DC17" s="14">
        <v>34.547892796835541</v>
      </c>
      <c r="DD17" s="14">
        <v>34.903064836987248</v>
      </c>
      <c r="DE17" s="14">
        <v>44.656650890859147</v>
      </c>
      <c r="DF17" s="14">
        <v>43.653507589999997</v>
      </c>
      <c r="DG17" s="14">
        <v>48.318714489999991</v>
      </c>
    </row>
    <row r="18" spans="1:111" x14ac:dyDescent="0.3">
      <c r="A18" s="2" t="s">
        <v>10</v>
      </c>
      <c r="B18" s="59"/>
      <c r="C18" s="59"/>
      <c r="D18" s="59"/>
      <c r="E18" s="59"/>
      <c r="F18" s="59"/>
      <c r="G18" s="59"/>
      <c r="H18" s="59"/>
      <c r="I18" s="59"/>
      <c r="J18" s="14">
        <v>1.7809999999999999</v>
      </c>
      <c r="K18" s="14">
        <v>1.3660000000000001</v>
      </c>
      <c r="L18" s="14">
        <v>1.6189999999999998</v>
      </c>
      <c r="M18" s="14">
        <v>1.968</v>
      </c>
      <c r="N18" s="14">
        <v>2.7569999999999997</v>
      </c>
      <c r="O18" s="14">
        <v>2.7290000000000001</v>
      </c>
      <c r="P18" s="14">
        <v>2.9710000000000001</v>
      </c>
      <c r="Q18" s="14">
        <v>1.956</v>
      </c>
      <c r="R18" s="14">
        <v>2.0429999999999997</v>
      </c>
      <c r="S18" s="14">
        <v>1.673</v>
      </c>
      <c r="T18" s="14">
        <v>1.9698000000000002</v>
      </c>
      <c r="U18" s="14">
        <v>3.1779999999999999</v>
      </c>
      <c r="V18" s="14">
        <v>0.92400000000000004</v>
      </c>
      <c r="W18" s="14">
        <v>2.1859999999999999</v>
      </c>
      <c r="X18" s="14">
        <v>2.5259999999999998</v>
      </c>
      <c r="Y18" s="14">
        <v>2.1989999999999998</v>
      </c>
      <c r="Z18" s="14">
        <v>1.8620000000000001</v>
      </c>
      <c r="AA18" s="14">
        <v>3.0302870000000004</v>
      </c>
      <c r="AB18" s="14">
        <v>1.839</v>
      </c>
      <c r="AC18" s="14">
        <v>1.103</v>
      </c>
      <c r="AD18" s="14">
        <v>1.6230739999999999</v>
      </c>
      <c r="AE18" s="14">
        <v>1.996</v>
      </c>
      <c r="AF18" s="14">
        <v>1.5960000000000001</v>
      </c>
      <c r="AG18" s="14">
        <v>1.3979999999999999</v>
      </c>
      <c r="AH18" s="14">
        <v>0.59099999999999997</v>
      </c>
      <c r="AI18" s="14">
        <v>0.67700000000000005</v>
      </c>
      <c r="AJ18" s="14">
        <v>2.3260000000000001</v>
      </c>
      <c r="AK18" s="14">
        <v>2.5530000000000004</v>
      </c>
      <c r="AL18" s="14">
        <v>4.0549999999999997</v>
      </c>
      <c r="AM18" s="14">
        <v>4.673</v>
      </c>
      <c r="AN18" s="14">
        <v>7.3529999999999998</v>
      </c>
      <c r="AO18" s="14">
        <v>6.6189999999999998</v>
      </c>
      <c r="AP18" s="14">
        <v>6.69</v>
      </c>
      <c r="AQ18" s="14">
        <v>5.282</v>
      </c>
      <c r="AR18" s="14">
        <v>4.3729999999999993</v>
      </c>
      <c r="AS18" s="14">
        <v>3.3040000000000003</v>
      </c>
      <c r="AT18" s="14">
        <v>0.93300000000000005</v>
      </c>
      <c r="AU18" s="14">
        <v>1.349</v>
      </c>
      <c r="AV18" s="14">
        <v>0.86299999999999999</v>
      </c>
      <c r="AW18" s="14">
        <v>1.0369999999999999</v>
      </c>
      <c r="AX18" s="14">
        <v>1.865</v>
      </c>
      <c r="AY18" s="14">
        <v>1.2250000000000001</v>
      </c>
      <c r="AZ18" s="14">
        <v>1.4820000000000002</v>
      </c>
      <c r="BA18" s="14">
        <v>1.288</v>
      </c>
      <c r="BB18" s="14">
        <v>1.343</v>
      </c>
      <c r="BC18" s="14">
        <v>1.2430000000000001</v>
      </c>
      <c r="BD18" s="14">
        <v>1.530665846750134</v>
      </c>
      <c r="BE18" s="14">
        <v>2.4137415383832375</v>
      </c>
      <c r="BF18" s="14">
        <v>1.9614361666257887</v>
      </c>
      <c r="BG18" s="14">
        <v>1.3444351862479023</v>
      </c>
      <c r="BH18" s="14">
        <v>1.8540000000000001</v>
      </c>
      <c r="BI18" s="14">
        <v>2.1190000000000002</v>
      </c>
      <c r="BJ18" s="14">
        <v>1.964</v>
      </c>
      <c r="BK18" s="14">
        <v>2.1870000000000003</v>
      </c>
      <c r="BL18" s="14">
        <v>4.327</v>
      </c>
      <c r="BM18" s="14">
        <v>6.2160000000000002</v>
      </c>
      <c r="BN18" s="14">
        <v>2.4047635266762057</v>
      </c>
      <c r="BO18" s="14">
        <v>3.6950000000000003</v>
      </c>
      <c r="BP18" s="14">
        <v>4.4950000000000001</v>
      </c>
      <c r="BQ18" s="14">
        <v>3.234</v>
      </c>
      <c r="BR18" s="14">
        <v>3.581</v>
      </c>
      <c r="BS18" s="14">
        <v>1.6970000000000001</v>
      </c>
      <c r="BT18" s="14">
        <v>1.728</v>
      </c>
      <c r="BU18" s="14">
        <v>1.3660000000000001</v>
      </c>
      <c r="BV18" s="14">
        <v>1.1859999999999999</v>
      </c>
      <c r="BW18" s="14">
        <v>1.8900000000000001</v>
      </c>
      <c r="BX18" s="14">
        <v>3.4850000000000003</v>
      </c>
      <c r="BY18" s="14">
        <v>4.718</v>
      </c>
      <c r="BZ18" s="14">
        <v>3.1669999999999998</v>
      </c>
      <c r="CA18" s="14">
        <v>5.7750000000000004</v>
      </c>
      <c r="CB18" s="14">
        <v>8.2032450000000008</v>
      </c>
      <c r="CC18" s="14">
        <v>8.6503720000000008</v>
      </c>
      <c r="CD18" s="14">
        <v>6.60122286</v>
      </c>
      <c r="CE18" s="14">
        <v>9.5999302400000008</v>
      </c>
      <c r="CF18" s="14">
        <v>9.9818435900000004</v>
      </c>
      <c r="CG18" s="14">
        <v>12.823929489999999</v>
      </c>
      <c r="CH18" s="14">
        <v>10.346067800000002</v>
      </c>
      <c r="CI18" s="14">
        <v>8.255846420000001</v>
      </c>
      <c r="CJ18" s="14">
        <v>13.22936754</v>
      </c>
      <c r="CK18" s="14">
        <v>15.245649039999991</v>
      </c>
      <c r="CL18" s="14">
        <v>18.159951790000001</v>
      </c>
      <c r="CM18" s="14">
        <v>17.113487060000001</v>
      </c>
      <c r="CN18" s="14">
        <v>22.031902191999997</v>
      </c>
      <c r="CO18" s="14">
        <v>17.517910468814929</v>
      </c>
      <c r="CP18" s="14">
        <v>16.504929345999997</v>
      </c>
      <c r="CQ18" s="14">
        <v>17.288614040000002</v>
      </c>
      <c r="CR18" s="14">
        <v>18.145847710000005</v>
      </c>
      <c r="CS18" s="14">
        <v>15.632000768999998</v>
      </c>
      <c r="CT18" s="14">
        <v>14.031996406999998</v>
      </c>
      <c r="CU18" s="14">
        <v>14.897353806555127</v>
      </c>
      <c r="CV18" s="14">
        <v>15.291357396188406</v>
      </c>
      <c r="CW18" s="14">
        <v>11.785367719632408</v>
      </c>
      <c r="CX18" s="14">
        <v>12.081827489856831</v>
      </c>
      <c r="CY18" s="14">
        <v>12.496744842363857</v>
      </c>
      <c r="CZ18" s="14">
        <v>11.754292420998487</v>
      </c>
      <c r="DA18" s="14">
        <v>14.604094321000002</v>
      </c>
      <c r="DB18" s="14">
        <v>12.68729396436488</v>
      </c>
      <c r="DC18" s="14">
        <v>14.169387371453576</v>
      </c>
      <c r="DD18" s="14">
        <v>16.817651164553073</v>
      </c>
      <c r="DE18" s="14">
        <v>10.965957462125534</v>
      </c>
      <c r="DF18" s="14">
        <v>9.8994057600000005</v>
      </c>
      <c r="DG18" s="14">
        <v>8.5753900300000012</v>
      </c>
    </row>
    <row r="19" spans="1:111" x14ac:dyDescent="0.3">
      <c r="A19" s="2" t="s">
        <v>11</v>
      </c>
      <c r="B19" s="59"/>
      <c r="C19" s="59"/>
      <c r="D19" s="59"/>
      <c r="E19" s="59"/>
      <c r="F19" s="59"/>
      <c r="G19" s="59"/>
      <c r="H19" s="59"/>
      <c r="I19" s="59"/>
      <c r="J19" s="14">
        <v>0.38400000000000001</v>
      </c>
      <c r="K19" s="14">
        <v>8.900000000000001E-2</v>
      </c>
      <c r="L19" s="14">
        <v>0.51400000000000001</v>
      </c>
      <c r="M19" s="14">
        <v>0.44200000000000006</v>
      </c>
      <c r="N19" s="14">
        <v>0</v>
      </c>
      <c r="O19" s="14">
        <v>0.182</v>
      </c>
      <c r="P19" s="14">
        <v>4.3090000000000002</v>
      </c>
      <c r="Q19" s="14">
        <v>1.38</v>
      </c>
      <c r="R19" s="14">
        <v>0.56900000000000006</v>
      </c>
      <c r="S19" s="14">
        <v>0.185</v>
      </c>
      <c r="T19" s="14">
        <v>5.9279999999999999</v>
      </c>
      <c r="U19" s="14">
        <v>3.0279999999999996</v>
      </c>
      <c r="V19" s="14">
        <v>0.31500000000000006</v>
      </c>
      <c r="W19" s="14">
        <v>6.8000000000000005E-2</v>
      </c>
      <c r="X19" s="14">
        <v>0.14200000000000002</v>
      </c>
      <c r="Y19" s="14">
        <v>0.45799999999999996</v>
      </c>
      <c r="Z19" s="14">
        <v>2.8000000000000001E-2</v>
      </c>
      <c r="AA19" s="14">
        <v>0</v>
      </c>
      <c r="AB19" s="14">
        <v>0</v>
      </c>
      <c r="AC19" s="14">
        <v>0.01</v>
      </c>
      <c r="AD19" s="14">
        <v>0</v>
      </c>
      <c r="AE19" s="14">
        <v>0</v>
      </c>
      <c r="AF19" s="14">
        <v>0.79600000000000004</v>
      </c>
      <c r="AG19" s="14">
        <v>0.54600000000000004</v>
      </c>
      <c r="AH19" s="14">
        <v>7.1000000000000008E-2</v>
      </c>
      <c r="AI19" s="14">
        <v>0</v>
      </c>
      <c r="AJ19" s="14">
        <v>0.58099999999999996</v>
      </c>
      <c r="AK19" s="14">
        <v>0.17300000000000001</v>
      </c>
      <c r="AL19" s="14">
        <v>1.9000000000000003E-2</v>
      </c>
      <c r="AM19" s="14">
        <v>1.6E-2</v>
      </c>
      <c r="AN19" s="14">
        <v>0.18</v>
      </c>
      <c r="AO19" s="14">
        <v>0.442</v>
      </c>
      <c r="AP19" s="14">
        <v>0.14499999999999999</v>
      </c>
      <c r="AQ19" s="14">
        <v>2.8000000000000001E-2</v>
      </c>
      <c r="AR19" s="14">
        <v>0.03</v>
      </c>
      <c r="AS19" s="14">
        <v>0.26500000000000001</v>
      </c>
      <c r="AT19" s="14">
        <v>0.16200000000000001</v>
      </c>
      <c r="AU19" s="14">
        <v>5.2000000000000005E-2</v>
      </c>
      <c r="AV19" s="14">
        <v>0.375</v>
      </c>
      <c r="AW19" s="14">
        <v>0.96099999999999997</v>
      </c>
      <c r="AX19" s="14">
        <v>0.67700000000000005</v>
      </c>
      <c r="AY19" s="14">
        <v>0.17</v>
      </c>
      <c r="AZ19" s="14">
        <v>1.482</v>
      </c>
      <c r="BA19" s="14">
        <v>1.0529999999999999</v>
      </c>
      <c r="BB19" s="14">
        <v>0.22899999999999998</v>
      </c>
      <c r="BC19" s="14">
        <v>1.9E-2</v>
      </c>
      <c r="BD19" s="14">
        <v>1.3956545530020925</v>
      </c>
      <c r="BE19" s="14">
        <v>1.2287687682272452</v>
      </c>
      <c r="BF19" s="14">
        <v>0.91176741186460453</v>
      </c>
      <c r="BG19" s="14">
        <v>1.2071862669060569</v>
      </c>
      <c r="BH19" s="14">
        <v>2.4969999999999999</v>
      </c>
      <c r="BI19" s="14">
        <v>1.0940000000000001</v>
      </c>
      <c r="BJ19" s="14">
        <v>0.85499999999999998</v>
      </c>
      <c r="BK19" s="14">
        <v>0.111</v>
      </c>
      <c r="BL19" s="14">
        <v>1.56</v>
      </c>
      <c r="BM19" s="14">
        <v>1.4239999999999999</v>
      </c>
      <c r="BN19" s="14">
        <v>1.379</v>
      </c>
      <c r="BO19" s="14">
        <v>1.0980000000000001</v>
      </c>
      <c r="BP19" s="14">
        <v>6.3620000000000001</v>
      </c>
      <c r="BQ19" s="14">
        <v>5.03</v>
      </c>
      <c r="BR19" s="14">
        <v>1.101</v>
      </c>
      <c r="BS19" s="14">
        <v>1.661</v>
      </c>
      <c r="BT19" s="14">
        <v>5.0730000000000004</v>
      </c>
      <c r="BU19" s="14">
        <v>5.407</v>
      </c>
      <c r="BV19" s="14">
        <v>0.73099999999999998</v>
      </c>
      <c r="BW19" s="14">
        <v>0.28500000000000003</v>
      </c>
      <c r="BX19" s="14">
        <v>5.8449999999999998</v>
      </c>
      <c r="BY19" s="14">
        <v>2.7600000000000002</v>
      </c>
      <c r="BZ19" s="14">
        <v>2.7869999999999999</v>
      </c>
      <c r="CA19" s="14">
        <v>1.4769999999999999</v>
      </c>
      <c r="CB19" s="14">
        <v>10.197765</v>
      </c>
      <c r="CC19" s="14">
        <v>3.2618119999999999</v>
      </c>
      <c r="CD19" s="14">
        <v>2.3248738699999998</v>
      </c>
      <c r="CE19" s="14">
        <v>1.4959025799999996</v>
      </c>
      <c r="CF19" s="14">
        <v>5.2829192600000008</v>
      </c>
      <c r="CG19" s="14">
        <v>4.0471856900000027</v>
      </c>
      <c r="CH19" s="14">
        <v>0.55696718000000001</v>
      </c>
      <c r="CI19" s="14">
        <v>1.6737833700000002</v>
      </c>
      <c r="CJ19" s="14">
        <v>11.853643269999994</v>
      </c>
      <c r="CK19" s="14">
        <v>9.455975949999992</v>
      </c>
      <c r="CL19" s="14">
        <v>3.680328000000002</v>
      </c>
      <c r="CM19" s="14">
        <v>3.6201741999999988</v>
      </c>
      <c r="CN19" s="14">
        <v>32.145682084719269</v>
      </c>
      <c r="CO19" s="14">
        <v>6.1121141257735303</v>
      </c>
      <c r="CP19" s="14">
        <v>8.9970240020606127</v>
      </c>
      <c r="CQ19" s="14">
        <v>7.8563092180000034</v>
      </c>
      <c r="CR19" s="14">
        <v>23.958199055919074</v>
      </c>
      <c r="CS19" s="14">
        <v>9.9369736886869475</v>
      </c>
      <c r="CT19" s="14">
        <v>13.263122101278357</v>
      </c>
      <c r="CU19" s="14">
        <v>5.0460969961547866</v>
      </c>
      <c r="CV19" s="14">
        <v>8.0105185589834527</v>
      </c>
      <c r="CW19" s="14">
        <v>3.2698677601072523</v>
      </c>
      <c r="CX19" s="14">
        <v>2.0260234804821207</v>
      </c>
      <c r="CY19" s="14">
        <v>1.2178154587112076</v>
      </c>
      <c r="CZ19" s="14">
        <v>6.4017594877310326</v>
      </c>
      <c r="DA19" s="14">
        <v>6.5151742169999967</v>
      </c>
      <c r="DB19" s="14">
        <v>1.8219881084539287</v>
      </c>
      <c r="DC19" s="14">
        <v>2.5358144292223788</v>
      </c>
      <c r="DD19" s="14">
        <v>14.090664374480466</v>
      </c>
      <c r="DE19" s="14">
        <v>3.974670178513195</v>
      </c>
      <c r="DF19" s="14">
        <v>5.5114502200000022</v>
      </c>
      <c r="DG19" s="14">
        <v>3.0436397700000022</v>
      </c>
    </row>
    <row r="20" spans="1:111" x14ac:dyDescent="0.3">
      <c r="A20" s="2" t="s">
        <v>12</v>
      </c>
      <c r="B20" s="59"/>
      <c r="C20" s="59"/>
      <c r="D20" s="59"/>
      <c r="E20" s="59"/>
      <c r="F20" s="59"/>
      <c r="G20" s="59"/>
      <c r="H20" s="59"/>
      <c r="I20" s="59"/>
      <c r="J20" s="14">
        <v>3.589</v>
      </c>
      <c r="K20" s="14">
        <v>5.5140000000000011</v>
      </c>
      <c r="L20" s="14">
        <v>3.1659999999999999</v>
      </c>
      <c r="M20" s="14">
        <v>1.7400000000000002</v>
      </c>
      <c r="N20" s="14">
        <v>4.4570000000000007</v>
      </c>
      <c r="O20" s="14">
        <v>11.004999999999999</v>
      </c>
      <c r="P20" s="14">
        <v>3.2030000000000003</v>
      </c>
      <c r="Q20" s="14">
        <v>1.484</v>
      </c>
      <c r="R20" s="14">
        <v>2.0860000000000003</v>
      </c>
      <c r="S20" s="14">
        <v>1.663</v>
      </c>
      <c r="T20" s="14">
        <v>1.9119999999999999</v>
      </c>
      <c r="U20" s="14">
        <v>3.7669999999999999</v>
      </c>
      <c r="V20" s="14">
        <v>4.8499999999999996</v>
      </c>
      <c r="W20" s="14">
        <v>2.69</v>
      </c>
      <c r="X20" s="14">
        <v>2.831</v>
      </c>
      <c r="Y20" s="14">
        <v>6.1549999999999994</v>
      </c>
      <c r="Z20" s="14">
        <v>2.2000000000000002</v>
      </c>
      <c r="AA20" s="14">
        <v>0.38701099999999999</v>
      </c>
      <c r="AB20" s="14">
        <v>2.2810000000000001</v>
      </c>
      <c r="AC20" s="14">
        <v>3.2119999999999997</v>
      </c>
      <c r="AD20" s="14">
        <v>1.3923749999999999</v>
      </c>
      <c r="AE20" s="14">
        <v>2.3650000000000002</v>
      </c>
      <c r="AF20" s="14">
        <v>1.61</v>
      </c>
      <c r="AG20" s="14">
        <v>0.52100000000000013</v>
      </c>
      <c r="AH20" s="14">
        <v>2.1690000000000005</v>
      </c>
      <c r="AI20" s="14">
        <v>0.36099999999999999</v>
      </c>
      <c r="AJ20" s="14">
        <v>0.34200000000000003</v>
      </c>
      <c r="AK20" s="14">
        <v>1.1380000000000001</v>
      </c>
      <c r="AL20" s="14">
        <v>0.50900000000000001</v>
      </c>
      <c r="AM20" s="14">
        <v>0.29700000000000004</v>
      </c>
      <c r="AN20" s="14">
        <v>2.5979999999999999</v>
      </c>
      <c r="AO20" s="14">
        <v>2.73</v>
      </c>
      <c r="AP20" s="14">
        <v>3.0779999999999994</v>
      </c>
      <c r="AQ20" s="14">
        <v>2.48</v>
      </c>
      <c r="AR20" s="14">
        <v>4.9329999999999998</v>
      </c>
      <c r="AS20" s="14">
        <v>2.577</v>
      </c>
      <c r="AT20" s="14">
        <v>1.958</v>
      </c>
      <c r="AU20" s="14">
        <v>2.1</v>
      </c>
      <c r="AV20" s="14">
        <v>1.9680000000000002</v>
      </c>
      <c r="AW20" s="14">
        <v>2.137</v>
      </c>
      <c r="AX20" s="14">
        <v>4.7650000000000006</v>
      </c>
      <c r="AY20" s="14">
        <v>4.109</v>
      </c>
      <c r="AZ20" s="14">
        <v>6.6150000000000002</v>
      </c>
      <c r="BA20" s="14">
        <v>3.2699999999999996</v>
      </c>
      <c r="BB20" s="14">
        <v>4.016</v>
      </c>
      <c r="BC20" s="14">
        <v>2.0789999999999997</v>
      </c>
      <c r="BD20" s="14">
        <v>2.78419158165867</v>
      </c>
      <c r="BE20" s="14">
        <v>2.8374333837396555</v>
      </c>
      <c r="BF20" s="14">
        <v>4.4674691246997273</v>
      </c>
      <c r="BG20" s="14">
        <v>9.3859059099019504</v>
      </c>
      <c r="BH20" s="14">
        <v>6.5110000000000001</v>
      </c>
      <c r="BI20" s="14">
        <v>4.9399999999999995</v>
      </c>
      <c r="BJ20" s="14">
        <v>8.8569999999999993</v>
      </c>
      <c r="BK20" s="14">
        <v>3.9089999999999998</v>
      </c>
      <c r="BL20" s="14">
        <v>7.3769999999999998</v>
      </c>
      <c r="BM20" s="14">
        <v>7.7949999999999999</v>
      </c>
      <c r="BN20" s="14">
        <v>3.1829999999999998</v>
      </c>
      <c r="BO20" s="14">
        <v>5.6580000000000004</v>
      </c>
      <c r="BP20" s="14">
        <v>4.0570000000000004</v>
      </c>
      <c r="BQ20" s="14">
        <v>5.0629999999999997</v>
      </c>
      <c r="BR20" s="14">
        <v>5.6029999999999998</v>
      </c>
      <c r="BS20" s="14">
        <v>3.399</v>
      </c>
      <c r="BT20" s="14">
        <v>10.661</v>
      </c>
      <c r="BU20" s="14">
        <v>7.8500000000000005</v>
      </c>
      <c r="BV20" s="14">
        <v>2.387</v>
      </c>
      <c r="BW20" s="14">
        <v>5.6379999999999999</v>
      </c>
      <c r="BX20" s="14">
        <v>8.5189999999999984</v>
      </c>
      <c r="BY20" s="14">
        <v>11.271000000000001</v>
      </c>
      <c r="BZ20" s="14">
        <v>7.226</v>
      </c>
      <c r="CA20" s="14">
        <v>8.4019999999999992</v>
      </c>
      <c r="CB20" s="14">
        <v>5.1079309999999998</v>
      </c>
      <c r="CC20" s="14">
        <v>4.8585529999999997</v>
      </c>
      <c r="CD20" s="14">
        <v>12.331414420000019</v>
      </c>
      <c r="CE20" s="14">
        <v>5.0423498000000011</v>
      </c>
      <c r="CF20" s="14">
        <v>14.957103289999949</v>
      </c>
      <c r="CG20" s="14">
        <v>14.695835489999991</v>
      </c>
      <c r="CH20" s="14">
        <v>15.889558020000113</v>
      </c>
      <c r="CI20" s="14">
        <v>13.620964280000024</v>
      </c>
      <c r="CJ20" s="14">
        <v>13.841719769999999</v>
      </c>
      <c r="CK20" s="14">
        <v>11.078863489999991</v>
      </c>
      <c r="CL20" s="14">
        <v>12.322203620000026</v>
      </c>
      <c r="CM20" s="14">
        <v>4.8473500700000018</v>
      </c>
      <c r="CN20" s="14">
        <v>9.6388832906307194</v>
      </c>
      <c r="CO20" s="14">
        <v>8.9326352038042973</v>
      </c>
      <c r="CP20" s="14">
        <v>13.368872829346797</v>
      </c>
      <c r="CQ20" s="14">
        <v>15.315636894542935</v>
      </c>
      <c r="CR20" s="14">
        <v>13.95537730850306</v>
      </c>
      <c r="CS20" s="14">
        <v>31.550957276379958</v>
      </c>
      <c r="CT20" s="14">
        <v>24.40105855973232</v>
      </c>
      <c r="CU20" s="14">
        <v>21.061027058219917</v>
      </c>
      <c r="CV20" s="14">
        <v>19.191731289824077</v>
      </c>
      <c r="CW20" s="14">
        <v>17.317064561424871</v>
      </c>
      <c r="CX20" s="14">
        <v>16.771590346332463</v>
      </c>
      <c r="CY20" s="14">
        <v>16.891665604493824</v>
      </c>
      <c r="CZ20" s="14">
        <v>20.928425682220748</v>
      </c>
      <c r="DA20" s="14">
        <v>23.90213611262492</v>
      </c>
      <c r="DB20" s="14">
        <v>27.654403298732543</v>
      </c>
      <c r="DC20" s="14">
        <v>23.428052738069766</v>
      </c>
      <c r="DD20" s="14">
        <v>43.73752009014386</v>
      </c>
      <c r="DE20" s="14">
        <v>29.987870512110014</v>
      </c>
      <c r="DF20" s="14">
        <v>21.701998709999906</v>
      </c>
      <c r="DG20" s="14">
        <v>11.380265400000013</v>
      </c>
    </row>
    <row r="21" spans="1:111" x14ac:dyDescent="0.3">
      <c r="A21" s="2" t="s">
        <v>13</v>
      </c>
      <c r="B21" s="59"/>
      <c r="C21" s="59"/>
      <c r="D21" s="59"/>
      <c r="E21" s="59"/>
      <c r="F21" s="59"/>
      <c r="G21" s="59"/>
      <c r="H21" s="59"/>
      <c r="I21" s="59"/>
      <c r="J21" s="14">
        <v>3.8330000000000002</v>
      </c>
      <c r="K21" s="14">
        <v>2.7859999999999996</v>
      </c>
      <c r="L21" s="14">
        <v>3.0710000000000002</v>
      </c>
      <c r="M21" s="14">
        <v>0.77700000000000002</v>
      </c>
      <c r="N21" s="14">
        <v>3.7039999999999997</v>
      </c>
      <c r="O21" s="14">
        <v>5.0890000000000004</v>
      </c>
      <c r="P21" s="14">
        <v>2.3740000000000001</v>
      </c>
      <c r="Q21" s="14">
        <v>0.53100000000000003</v>
      </c>
      <c r="R21" s="14">
        <v>2.278</v>
      </c>
      <c r="S21" s="14">
        <v>0.95599999999999996</v>
      </c>
      <c r="T21" s="14">
        <v>1.5920000000000001</v>
      </c>
      <c r="U21" s="14">
        <v>2.65</v>
      </c>
      <c r="V21" s="14">
        <v>0.19700000000000001</v>
      </c>
      <c r="W21" s="14">
        <v>0.9830000000000001</v>
      </c>
      <c r="X21" s="14">
        <v>3.6079999999999997</v>
      </c>
      <c r="Y21" s="14">
        <v>1.1890000000000001</v>
      </c>
      <c r="Z21" s="14">
        <v>1.03</v>
      </c>
      <c r="AA21" s="14">
        <v>0.53689199999999992</v>
      </c>
      <c r="AB21" s="14">
        <v>0.14800000000000002</v>
      </c>
      <c r="AC21" s="14">
        <v>0.48</v>
      </c>
      <c r="AD21" s="14">
        <v>0.64300000000000002</v>
      </c>
      <c r="AE21" s="14">
        <v>1.0289999999999999</v>
      </c>
      <c r="AF21" s="14">
        <v>2.3410000000000002</v>
      </c>
      <c r="AG21" s="14">
        <v>0.60699999999999998</v>
      </c>
      <c r="AH21" s="14">
        <v>0.41199999999999998</v>
      </c>
      <c r="AI21" s="14">
        <v>2.5429999999999997</v>
      </c>
      <c r="AJ21" s="14">
        <v>1.2490000000000001</v>
      </c>
      <c r="AK21" s="14">
        <v>0.61399999999999999</v>
      </c>
      <c r="AL21" s="14">
        <v>0.752</v>
      </c>
      <c r="AM21" s="14">
        <v>0.38600000000000001</v>
      </c>
      <c r="AN21" s="14">
        <v>0.40900000000000003</v>
      </c>
      <c r="AO21" s="14">
        <v>0.49399999999999999</v>
      </c>
      <c r="AP21" s="14">
        <v>0.28099999999999997</v>
      </c>
      <c r="AQ21" s="14">
        <v>0.42299999999999999</v>
      </c>
      <c r="AR21" s="14">
        <v>0.40100000000000002</v>
      </c>
      <c r="AS21" s="14">
        <v>0.34399999999999997</v>
      </c>
      <c r="AT21" s="14">
        <v>0.72</v>
      </c>
      <c r="AU21" s="14">
        <v>1.0449999999999999</v>
      </c>
      <c r="AV21" s="14">
        <v>0.84199999999999997</v>
      </c>
      <c r="AW21" s="14">
        <v>2.8840000000000003</v>
      </c>
      <c r="AX21" s="14">
        <v>0.76800000000000002</v>
      </c>
      <c r="AY21" s="14">
        <v>1.169</v>
      </c>
      <c r="AZ21" s="14">
        <v>1.5340000000000003</v>
      </c>
      <c r="BA21" s="14">
        <v>1.395</v>
      </c>
      <c r="BB21" s="14">
        <v>1.1400000000000001</v>
      </c>
      <c r="BC21" s="14">
        <v>0.54700000000000004</v>
      </c>
      <c r="BD21" s="14">
        <v>1.0482469641884511</v>
      </c>
      <c r="BE21" s="14">
        <v>1.519833268451285</v>
      </c>
      <c r="BF21" s="14">
        <v>2.3359029350633729</v>
      </c>
      <c r="BG21" s="14">
        <v>2.0380168322968917</v>
      </c>
      <c r="BH21" s="14">
        <v>1.7570000000000001</v>
      </c>
      <c r="BI21" s="14">
        <v>2.2210000000000001</v>
      </c>
      <c r="BJ21" s="14">
        <v>2.653</v>
      </c>
      <c r="BK21" s="14">
        <v>1.1869999999999998</v>
      </c>
      <c r="BL21" s="14">
        <v>1.1040000000000001</v>
      </c>
      <c r="BM21" s="14">
        <v>0.83399999999999996</v>
      </c>
      <c r="BN21" s="14">
        <v>0.61899999999999988</v>
      </c>
      <c r="BO21" s="14">
        <v>1.091</v>
      </c>
      <c r="BP21" s="14">
        <v>0.91700000000000004</v>
      </c>
      <c r="BQ21" s="14">
        <v>3.0819999999999999</v>
      </c>
      <c r="BR21" s="14">
        <v>3.7720000000000002</v>
      </c>
      <c r="BS21" s="14">
        <v>5.0090000000000003</v>
      </c>
      <c r="BT21" s="14">
        <v>1.962</v>
      </c>
      <c r="BU21" s="14">
        <v>3.032</v>
      </c>
      <c r="BV21" s="14">
        <v>2.44</v>
      </c>
      <c r="BW21" s="14">
        <v>3.4329999999999998</v>
      </c>
      <c r="BX21" s="14">
        <v>0.93100000000000005</v>
      </c>
      <c r="BY21" s="14">
        <v>2.7919999999999998</v>
      </c>
      <c r="BZ21" s="14">
        <v>0.50700000000000001</v>
      </c>
      <c r="CA21" s="14">
        <v>3.7309999999999999</v>
      </c>
      <c r="CB21" s="14">
        <v>2.2233650000000003</v>
      </c>
      <c r="CC21" s="14">
        <v>4.6744280000000007</v>
      </c>
      <c r="CD21" s="14">
        <v>7.4342651200000009</v>
      </c>
      <c r="CE21" s="14">
        <v>4.5239712800000014</v>
      </c>
      <c r="CF21" s="14">
        <v>1.5716766799999999</v>
      </c>
      <c r="CG21" s="14">
        <v>1.69281997</v>
      </c>
      <c r="CH21" s="14">
        <v>4.3698268400000035</v>
      </c>
      <c r="CI21" s="14">
        <v>5.0485900599999995</v>
      </c>
      <c r="CJ21" s="14">
        <v>3.4778010899999998</v>
      </c>
      <c r="CK21" s="14">
        <v>3.2252142300000015</v>
      </c>
      <c r="CL21" s="14">
        <v>3.7931220200000011</v>
      </c>
      <c r="CM21" s="14">
        <v>5.5284437199999941</v>
      </c>
      <c r="CN21" s="14">
        <v>7.5131738462114832</v>
      </c>
      <c r="CO21" s="14">
        <v>3.4817057363237067</v>
      </c>
      <c r="CP21" s="14">
        <v>9.6801093851956086</v>
      </c>
      <c r="CQ21" s="14">
        <v>4.442059688218059</v>
      </c>
      <c r="CR21" s="14">
        <v>5.9589848925758462</v>
      </c>
      <c r="CS21" s="14">
        <v>17.534272801484661</v>
      </c>
      <c r="CT21" s="14">
        <v>17.138715568689776</v>
      </c>
      <c r="CU21" s="14">
        <v>13.245114488231245</v>
      </c>
      <c r="CV21" s="14">
        <v>9.1506249322859077</v>
      </c>
      <c r="CW21" s="14">
        <v>9.514007566689564</v>
      </c>
      <c r="CX21" s="14">
        <v>7.1034734097922581</v>
      </c>
      <c r="CY21" s="14">
        <v>12.496708914340406</v>
      </c>
      <c r="CZ21" s="14">
        <v>8.8964777445697916</v>
      </c>
      <c r="DA21" s="14">
        <v>26.94896144059814</v>
      </c>
      <c r="DB21" s="14">
        <v>22.86617764851097</v>
      </c>
      <c r="DC21" s="14">
        <v>25.499353654795101</v>
      </c>
      <c r="DD21" s="14">
        <v>45.795374585664113</v>
      </c>
      <c r="DE21" s="14">
        <v>29.245488693703109</v>
      </c>
      <c r="DF21" s="14">
        <v>14.910269920000003</v>
      </c>
      <c r="DG21" s="14">
        <v>9.1103986100000007</v>
      </c>
    </row>
    <row r="22" spans="1:111" x14ac:dyDescent="0.3">
      <c r="A22" s="2" t="s">
        <v>14</v>
      </c>
      <c r="B22" s="59"/>
      <c r="C22" s="59"/>
      <c r="D22" s="59"/>
      <c r="E22" s="59"/>
      <c r="F22" s="59"/>
      <c r="G22" s="59"/>
      <c r="H22" s="59"/>
      <c r="I22" s="59"/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1.0105</v>
      </c>
      <c r="Q22" s="14">
        <v>1.0105</v>
      </c>
      <c r="R22" s="14">
        <v>1.0105</v>
      </c>
      <c r="S22" s="14">
        <v>1.0105</v>
      </c>
      <c r="T22" s="14">
        <v>1.6715</v>
      </c>
      <c r="U22" s="14">
        <v>1.6715</v>
      </c>
      <c r="V22" s="14">
        <v>0.64800000000000002</v>
      </c>
      <c r="W22" s="14">
        <v>1.2160000000000002</v>
      </c>
      <c r="X22" s="14">
        <v>2.0540000000000003</v>
      </c>
      <c r="Y22" s="14">
        <v>1.3340000000000001</v>
      </c>
      <c r="Z22" s="14">
        <v>0.93700000000000006</v>
      </c>
      <c r="AA22" s="14">
        <v>1.9280846999999999</v>
      </c>
      <c r="AB22" s="14">
        <v>2.2970000000000002</v>
      </c>
      <c r="AC22" s="14">
        <v>1.6539999999999999</v>
      </c>
      <c r="AD22" s="14">
        <v>1.363</v>
      </c>
      <c r="AE22" s="14">
        <v>2.097</v>
      </c>
      <c r="AF22" s="14">
        <v>1.6460000000000001</v>
      </c>
      <c r="AG22" s="14">
        <v>2.093</v>
      </c>
      <c r="AH22" s="14">
        <v>2.0759999999999996</v>
      </c>
      <c r="AI22" s="14">
        <v>0.90400000000000014</v>
      </c>
      <c r="AJ22" s="14">
        <v>2.76</v>
      </c>
      <c r="AK22" s="14">
        <v>2.5499999999999998</v>
      </c>
      <c r="AL22" s="14">
        <v>2.3609999999999998</v>
      </c>
      <c r="AM22" s="14">
        <v>3.86</v>
      </c>
      <c r="AN22" s="14">
        <v>3.3479999999999999</v>
      </c>
      <c r="AO22" s="14">
        <v>3.6520000000000001</v>
      </c>
      <c r="AP22" s="14">
        <v>3.5720000000000001</v>
      </c>
      <c r="AQ22" s="14">
        <v>3.74</v>
      </c>
      <c r="AR22" s="14">
        <v>4.4690000000000003</v>
      </c>
      <c r="AS22" s="14">
        <v>4.1259999999999994</v>
      </c>
      <c r="AT22" s="14">
        <v>4.0979999999999999</v>
      </c>
      <c r="AU22" s="14">
        <v>2.875</v>
      </c>
      <c r="AV22" s="14">
        <v>4.1150000000000002</v>
      </c>
      <c r="AW22" s="14">
        <v>5.952</v>
      </c>
      <c r="AX22" s="14">
        <v>6.3070000000000004</v>
      </c>
      <c r="AY22" s="14">
        <v>5.2850000000000001</v>
      </c>
      <c r="AZ22" s="14">
        <v>7.625</v>
      </c>
      <c r="BA22" s="14">
        <v>7.9399999999999995</v>
      </c>
      <c r="BB22" s="14">
        <v>7.3680000000000003</v>
      </c>
      <c r="BC22" s="14">
        <v>6.8659999999999997</v>
      </c>
      <c r="BD22" s="14">
        <v>7.800972454671756</v>
      </c>
      <c r="BE22" s="14">
        <v>8.4930390904650572</v>
      </c>
      <c r="BF22" s="14">
        <v>8.4816695602234731</v>
      </c>
      <c r="BG22" s="14">
        <v>9.0203188946397201</v>
      </c>
      <c r="BH22" s="14">
        <v>8.0609999999999999</v>
      </c>
      <c r="BI22" s="14">
        <v>8.282</v>
      </c>
      <c r="BJ22" s="14">
        <v>8.7439999999999998</v>
      </c>
      <c r="BK22" s="14">
        <v>6.8209999999999997</v>
      </c>
      <c r="BL22" s="14">
        <v>8.99</v>
      </c>
      <c r="BM22" s="14">
        <v>8.0539999999999985</v>
      </c>
      <c r="BN22" s="14">
        <v>10.280999999999999</v>
      </c>
      <c r="BO22" s="14">
        <v>8.0020000000000007</v>
      </c>
      <c r="BP22" s="14">
        <v>9.4559999999999995</v>
      </c>
      <c r="BQ22" s="14">
        <v>11.244</v>
      </c>
      <c r="BR22" s="14">
        <v>12.499000000000001</v>
      </c>
      <c r="BS22" s="14">
        <v>13.282000000000002</v>
      </c>
      <c r="BT22" s="14">
        <v>11.031000000000001</v>
      </c>
      <c r="BU22" s="14">
        <v>11.725</v>
      </c>
      <c r="BV22" s="14">
        <v>13.13</v>
      </c>
      <c r="BW22" s="14">
        <v>11.012</v>
      </c>
      <c r="BX22" s="14">
        <v>12.36</v>
      </c>
      <c r="BY22" s="14">
        <v>12.678000000000001</v>
      </c>
      <c r="BZ22" s="14">
        <v>12.089999999999998</v>
      </c>
      <c r="CA22" s="14">
        <v>9.4249999999999989</v>
      </c>
      <c r="CB22" s="14">
        <v>12.199065000000001</v>
      </c>
      <c r="CC22" s="14">
        <v>14.123474000000002</v>
      </c>
      <c r="CD22" s="14">
        <v>15.252197019999997</v>
      </c>
      <c r="CE22" s="14">
        <v>10.900679369999995</v>
      </c>
      <c r="CF22" s="14">
        <v>13.986939850000002</v>
      </c>
      <c r="CG22" s="14">
        <v>15.409674669999994</v>
      </c>
      <c r="CH22" s="14">
        <v>13.517307929999996</v>
      </c>
      <c r="CI22" s="14">
        <v>9.7607417499999976</v>
      </c>
      <c r="CJ22" s="14">
        <v>14.180098079999988</v>
      </c>
      <c r="CK22" s="14">
        <v>15.533665620000008</v>
      </c>
      <c r="CL22" s="14">
        <v>14.77202544</v>
      </c>
      <c r="CM22" s="14">
        <v>12.316596029999992</v>
      </c>
      <c r="CN22" s="14">
        <v>16.180217419000002</v>
      </c>
      <c r="CO22" s="14">
        <v>15.776733931360022</v>
      </c>
      <c r="CP22" s="14">
        <v>14.288314498810596</v>
      </c>
      <c r="CQ22" s="14">
        <v>11.247621759149897</v>
      </c>
      <c r="CR22" s="14">
        <v>14.682155529687499</v>
      </c>
      <c r="CS22" s="14">
        <v>15.062312245549681</v>
      </c>
      <c r="CT22" s="14">
        <v>12.758190296204578</v>
      </c>
      <c r="CU22" s="14">
        <v>8.9388118125653655</v>
      </c>
      <c r="CV22" s="14">
        <v>12.521558148102265</v>
      </c>
      <c r="CW22" s="14">
        <v>14.883035543164567</v>
      </c>
      <c r="CX22" s="14">
        <v>12.807543621258867</v>
      </c>
      <c r="CY22" s="14">
        <v>11.437068255694713</v>
      </c>
      <c r="CZ22" s="14">
        <v>13.715196942288266</v>
      </c>
      <c r="DA22" s="14">
        <v>15.617964210096339</v>
      </c>
      <c r="DB22" s="14">
        <v>15.309178876867612</v>
      </c>
      <c r="DC22" s="14">
        <v>13.077489960381772</v>
      </c>
      <c r="DD22" s="14">
        <v>16.253940089203542</v>
      </c>
      <c r="DE22" s="14">
        <v>17.219309308249507</v>
      </c>
      <c r="DF22" s="14">
        <v>14.576511119999999</v>
      </c>
      <c r="DG22" s="14">
        <v>12.843618449999999</v>
      </c>
    </row>
    <row r="23" spans="1:111" x14ac:dyDescent="0.3">
      <c r="A23" s="2" t="s">
        <v>15</v>
      </c>
      <c r="B23" s="59"/>
      <c r="C23" s="59"/>
      <c r="D23" s="59"/>
      <c r="E23" s="59"/>
      <c r="F23" s="59"/>
      <c r="G23" s="59"/>
      <c r="H23" s="59"/>
      <c r="I23" s="59"/>
      <c r="J23" s="14">
        <v>1.7309869999999998</v>
      </c>
      <c r="K23" s="14">
        <v>1.40937</v>
      </c>
      <c r="L23" s="14">
        <v>1.5</v>
      </c>
      <c r="M23" s="14">
        <v>1.5</v>
      </c>
      <c r="N23" s="14">
        <v>0</v>
      </c>
      <c r="O23" s="14">
        <v>0</v>
      </c>
      <c r="P23" s="14">
        <v>0</v>
      </c>
      <c r="Q23" s="14">
        <v>0</v>
      </c>
      <c r="R23" s="14">
        <v>2.0552176299771157</v>
      </c>
      <c r="S23" s="14">
        <v>1.1648302113450075</v>
      </c>
      <c r="T23" s="14">
        <v>0</v>
      </c>
      <c r="U23" s="14">
        <v>0</v>
      </c>
      <c r="V23" s="14">
        <v>2.0552176299771157</v>
      </c>
      <c r="W23" s="14">
        <v>4.0088895311322528</v>
      </c>
      <c r="X23" s="14">
        <v>0.52900000000000003</v>
      </c>
      <c r="Y23" s="14">
        <v>3.9060000000000001</v>
      </c>
      <c r="Z23" s="14">
        <v>2.0340000000000003</v>
      </c>
      <c r="AA23" s="14">
        <v>2.01162368</v>
      </c>
      <c r="AB23" s="14">
        <v>2.9969999999999999</v>
      </c>
      <c r="AC23" s="14">
        <v>2.5310000000000001</v>
      </c>
      <c r="AD23" s="14">
        <v>3.2050000000000001</v>
      </c>
      <c r="AE23" s="14">
        <v>2.496</v>
      </c>
      <c r="AF23" s="14">
        <v>4.1290000000000004</v>
      </c>
      <c r="AG23" s="14">
        <v>1.9690000000000003</v>
      </c>
      <c r="AH23" s="14">
        <v>1.8820000000000001</v>
      </c>
      <c r="AI23" s="14">
        <v>1.651</v>
      </c>
      <c r="AJ23" s="14">
        <v>1.6917</v>
      </c>
      <c r="AK23" s="14">
        <v>2.6760000000000002</v>
      </c>
      <c r="AL23" s="14">
        <v>2.5499999999999998</v>
      </c>
      <c r="AM23" s="14">
        <v>2.4449999999999998</v>
      </c>
      <c r="AN23" s="14">
        <v>3.056</v>
      </c>
      <c r="AO23" s="14">
        <v>3.0649999999999999</v>
      </c>
      <c r="AP23" s="14">
        <v>4.1310000000000002</v>
      </c>
      <c r="AQ23" s="14">
        <v>0.71499999999999997</v>
      </c>
      <c r="AR23" s="14">
        <v>1.2769999999999999</v>
      </c>
      <c r="AS23" s="14">
        <v>1.1280000000000001</v>
      </c>
      <c r="AT23" s="14">
        <v>0.83899999999999997</v>
      </c>
      <c r="AU23" s="14">
        <v>2.254</v>
      </c>
      <c r="AV23" s="14">
        <v>2.7090000000000001</v>
      </c>
      <c r="AW23" s="14">
        <v>5.8879999999999999</v>
      </c>
      <c r="AX23" s="14">
        <v>11.221</v>
      </c>
      <c r="AY23" s="14">
        <v>10.612</v>
      </c>
      <c r="AZ23" s="14">
        <v>5.415</v>
      </c>
      <c r="BA23" s="14">
        <v>7.069</v>
      </c>
      <c r="BB23" s="14">
        <v>7.35</v>
      </c>
      <c r="BC23" s="14">
        <v>8.2480000000000011</v>
      </c>
      <c r="BD23" s="14">
        <v>9.8569999999999993</v>
      </c>
      <c r="BE23" s="14">
        <v>7.5960000000000001</v>
      </c>
      <c r="BF23" s="14">
        <v>6.645999999999999</v>
      </c>
      <c r="BG23" s="14">
        <v>7.3740000000000006</v>
      </c>
      <c r="BH23" s="14">
        <v>7.8810000000000002</v>
      </c>
      <c r="BI23" s="14">
        <v>7.7119999999999997</v>
      </c>
      <c r="BJ23" s="14">
        <v>9.7740000000000009</v>
      </c>
      <c r="BK23" s="14">
        <v>10.879000000000001</v>
      </c>
      <c r="BL23" s="14">
        <v>10.439</v>
      </c>
      <c r="BM23" s="14">
        <v>9.8740000000000006</v>
      </c>
      <c r="BN23" s="14">
        <v>9.048</v>
      </c>
      <c r="BO23" s="14">
        <v>11.015000000000001</v>
      </c>
      <c r="BP23" s="14">
        <v>11.047493449642127</v>
      </c>
      <c r="BQ23" s="14">
        <v>14.30715289493865</v>
      </c>
      <c r="BR23" s="14">
        <v>15.132889634458079</v>
      </c>
      <c r="BS23" s="14">
        <v>13.683637397750513</v>
      </c>
      <c r="BT23" s="14">
        <v>28.456</v>
      </c>
      <c r="BU23" s="14">
        <v>24.710999999999999</v>
      </c>
      <c r="BV23" s="14">
        <v>25.029000000000003</v>
      </c>
      <c r="BW23" s="14">
        <v>24.570999999999998</v>
      </c>
      <c r="BX23" s="14">
        <v>24.949560646685747</v>
      </c>
      <c r="BY23" s="14">
        <v>28.522219626862054</v>
      </c>
      <c r="BZ23" s="14">
        <v>31.794404824266316</v>
      </c>
      <c r="CA23" s="14">
        <v>21.701105140368632</v>
      </c>
      <c r="CB23" s="14">
        <v>24.734085709999999</v>
      </c>
      <c r="CC23" s="14">
        <v>26.392064269999999</v>
      </c>
      <c r="CD23" s="14">
        <v>26.704596809999998</v>
      </c>
      <c r="CE23" s="14">
        <v>29.028712539999997</v>
      </c>
      <c r="CF23" s="14">
        <v>30.977870139999997</v>
      </c>
      <c r="CG23" s="14">
        <v>30.878571269999998</v>
      </c>
      <c r="CH23" s="14">
        <v>36.646852789999997</v>
      </c>
      <c r="CI23" s="14">
        <v>34.452769070000002</v>
      </c>
      <c r="CJ23" s="14">
        <v>31.96203659</v>
      </c>
      <c r="CK23" s="14">
        <v>34.273977930000001</v>
      </c>
      <c r="CL23" s="14">
        <v>33.987478429999996</v>
      </c>
      <c r="CM23" s="14">
        <v>36.549148719999998</v>
      </c>
      <c r="CN23" s="14">
        <v>36.753533984000001</v>
      </c>
      <c r="CO23" s="14">
        <v>34.747894347779791</v>
      </c>
      <c r="CP23" s="14">
        <v>38.567004311896099</v>
      </c>
      <c r="CQ23" s="14">
        <v>39.044533594999997</v>
      </c>
      <c r="CR23" s="14">
        <v>32.930439949767312</v>
      </c>
      <c r="CS23" s="14">
        <v>32.784436776532587</v>
      </c>
      <c r="CT23" s="14">
        <v>34.074746372</v>
      </c>
      <c r="CU23" s="14">
        <v>31.456088666348506</v>
      </c>
      <c r="CV23" s="14">
        <v>30.224520887136286</v>
      </c>
      <c r="CW23" s="14">
        <v>27.320391824522076</v>
      </c>
      <c r="CX23" s="14">
        <v>31.270140627000004</v>
      </c>
      <c r="CY23" s="14">
        <v>31.039983241999991</v>
      </c>
      <c r="CZ23" s="14">
        <v>29.819652893643951</v>
      </c>
      <c r="DA23" s="14">
        <v>31.992568861999992</v>
      </c>
      <c r="DB23" s="14">
        <v>32.722620794940532</v>
      </c>
      <c r="DC23" s="14">
        <v>34.831242677081789</v>
      </c>
      <c r="DD23" s="14">
        <v>31.145869652971083</v>
      </c>
      <c r="DE23" s="14">
        <v>30.507577665295113</v>
      </c>
      <c r="DF23" s="14">
        <v>33.621866979999993</v>
      </c>
      <c r="DG23" s="14">
        <v>37.20062873000002</v>
      </c>
    </row>
    <row r="24" spans="1:111" x14ac:dyDescent="0.3">
      <c r="A24" s="3" t="s">
        <v>16</v>
      </c>
      <c r="B24" s="59"/>
      <c r="C24" s="59"/>
      <c r="D24" s="59"/>
      <c r="E24" s="59"/>
      <c r="F24" s="59"/>
      <c r="G24" s="59"/>
      <c r="H24" s="59"/>
      <c r="I24" s="59"/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4">
        <v>0</v>
      </c>
      <c r="Y24" s="14">
        <v>0</v>
      </c>
      <c r="Z24" s="14">
        <v>0</v>
      </c>
      <c r="AA24" s="14">
        <v>0</v>
      </c>
      <c r="AB24" s="14">
        <v>0</v>
      </c>
      <c r="AC24" s="14">
        <v>0</v>
      </c>
      <c r="AD24" s="14">
        <v>0</v>
      </c>
      <c r="AE24" s="14">
        <v>0</v>
      </c>
      <c r="AF24" s="14">
        <v>0</v>
      </c>
      <c r="AG24" s="14">
        <v>0</v>
      </c>
      <c r="AH24" s="14">
        <v>1.5944439999999998</v>
      </c>
      <c r="AI24" s="14">
        <v>0.72074099999999997</v>
      </c>
      <c r="AJ24" s="14">
        <v>1.749768</v>
      </c>
      <c r="AK24" s="14">
        <v>3.2708390000000001</v>
      </c>
      <c r="AL24" s="14">
        <v>2.9266139999999998</v>
      </c>
      <c r="AM24" s="14">
        <v>3.0339999999999998</v>
      </c>
      <c r="AN24" s="14">
        <v>3.1920000000000002</v>
      </c>
      <c r="AO24" s="14">
        <v>3.6310000000000002</v>
      </c>
      <c r="AP24" s="14">
        <v>3.4219999999999997</v>
      </c>
      <c r="AQ24" s="14">
        <v>2.4089999999999998</v>
      </c>
      <c r="AR24" s="14">
        <v>1.9969999999999999</v>
      </c>
      <c r="AS24" s="14">
        <v>3.117</v>
      </c>
      <c r="AT24" s="14">
        <v>1.9160000000000001</v>
      </c>
      <c r="AU24" s="14">
        <v>0</v>
      </c>
      <c r="AV24" s="14">
        <v>0</v>
      </c>
      <c r="AW24" s="14">
        <v>0</v>
      </c>
      <c r="AX24" s="14">
        <v>0</v>
      </c>
      <c r="AY24" s="14">
        <v>0</v>
      </c>
      <c r="AZ24" s="14">
        <v>0</v>
      </c>
      <c r="BA24" s="14">
        <v>2.6859999999999999</v>
      </c>
      <c r="BB24" s="14">
        <v>3.9510000000000001</v>
      </c>
      <c r="BC24" s="14">
        <v>3.3540000000000001</v>
      </c>
      <c r="BD24" s="14">
        <v>3.1899999999999995</v>
      </c>
      <c r="BE24" s="14">
        <v>3.2080000000000002</v>
      </c>
      <c r="BF24" s="14">
        <v>4.6470000000000002</v>
      </c>
      <c r="BG24" s="14">
        <v>4.53</v>
      </c>
      <c r="BH24" s="14">
        <v>5.7140000000000004</v>
      </c>
      <c r="BI24" s="14">
        <v>4.532</v>
      </c>
      <c r="BJ24" s="14">
        <v>4.1890000000000001</v>
      </c>
      <c r="BK24" s="14">
        <v>3.6289999999999996</v>
      </c>
      <c r="BL24" s="14">
        <v>4.665</v>
      </c>
      <c r="BM24" s="14">
        <v>4.0919999999999996</v>
      </c>
      <c r="BN24" s="14">
        <v>5.1430000000000007</v>
      </c>
      <c r="BO24" s="14">
        <v>3.4279999999999999</v>
      </c>
      <c r="BP24" s="14">
        <v>5.048</v>
      </c>
      <c r="BQ24" s="14">
        <v>5.3250000000000002</v>
      </c>
      <c r="BR24" s="14">
        <v>5.5709999999999997</v>
      </c>
      <c r="BS24" s="14">
        <v>4.2869999999999999</v>
      </c>
      <c r="BT24" s="14">
        <v>2.8559999999999999</v>
      </c>
      <c r="BU24" s="14">
        <v>4.3150000000000004</v>
      </c>
      <c r="BV24" s="14">
        <v>3.5049999999999999</v>
      </c>
      <c r="BW24" s="14">
        <v>4.7519999999999998</v>
      </c>
      <c r="BX24" s="14">
        <v>3.7229999999999999</v>
      </c>
      <c r="BY24" s="14">
        <v>4.5590000000000002</v>
      </c>
      <c r="BZ24" s="14">
        <v>3.7030000000000003</v>
      </c>
      <c r="CA24" s="14">
        <v>4.7610000000000001</v>
      </c>
      <c r="CB24" s="14">
        <v>3.9337530000000003</v>
      </c>
      <c r="CC24" s="14">
        <v>4.753107</v>
      </c>
      <c r="CD24" s="14">
        <v>4.2092043199999996</v>
      </c>
      <c r="CE24" s="14">
        <v>4.7481118499999999</v>
      </c>
      <c r="CF24" s="14">
        <v>2.6338576599999999</v>
      </c>
      <c r="CG24" s="14">
        <v>2.1080442800000001</v>
      </c>
      <c r="CH24" s="14">
        <v>4.7431430300000006</v>
      </c>
      <c r="CI24" s="14">
        <v>4.7530678999999996</v>
      </c>
      <c r="CJ24" s="14">
        <v>3.6885217399999997</v>
      </c>
      <c r="CK24" s="14">
        <v>2.6359473399999995</v>
      </c>
      <c r="CL24" s="14">
        <v>2.6366249000000002</v>
      </c>
      <c r="CM24" s="14">
        <v>1.1439307300000001</v>
      </c>
      <c r="CN24" s="14">
        <v>0</v>
      </c>
      <c r="CO24" s="14">
        <v>0</v>
      </c>
      <c r="CP24" s="14">
        <v>0</v>
      </c>
      <c r="CQ24" s="14">
        <v>0</v>
      </c>
      <c r="CR24" s="14">
        <v>0</v>
      </c>
      <c r="CS24" s="14">
        <v>0</v>
      </c>
      <c r="CT24" s="14">
        <v>0</v>
      </c>
      <c r="CU24" s="14">
        <v>0</v>
      </c>
      <c r="CV24" s="14">
        <v>0</v>
      </c>
      <c r="CW24" s="14">
        <v>0</v>
      </c>
      <c r="CX24" s="14">
        <v>0</v>
      </c>
      <c r="CY24" s="14">
        <v>0</v>
      </c>
      <c r="CZ24" s="14">
        <v>0</v>
      </c>
      <c r="DA24" s="14">
        <v>0</v>
      </c>
      <c r="DB24" s="14">
        <v>0</v>
      </c>
      <c r="DC24" s="14">
        <v>0</v>
      </c>
      <c r="DD24" s="14">
        <v>0</v>
      </c>
      <c r="DE24" s="14">
        <v>0</v>
      </c>
      <c r="DF24" s="14">
        <v>0</v>
      </c>
      <c r="DG24" s="14">
        <v>0</v>
      </c>
    </row>
    <row r="25" spans="1:111" x14ac:dyDescent="0.3">
      <c r="A25" s="15" t="s">
        <v>17</v>
      </c>
      <c r="B25" s="61"/>
      <c r="C25" s="61"/>
      <c r="D25" s="61"/>
      <c r="E25" s="61"/>
      <c r="F25" s="61"/>
      <c r="G25" s="61"/>
      <c r="H25" s="61"/>
      <c r="I25" s="61"/>
      <c r="J25" s="17">
        <v>2.323</v>
      </c>
      <c r="K25" s="17">
        <v>3.6859999999999999</v>
      </c>
      <c r="L25" s="17">
        <v>1.901</v>
      </c>
      <c r="M25" s="17">
        <v>2.6849999999999996</v>
      </c>
      <c r="N25" s="17">
        <v>5.3319999999999999</v>
      </c>
      <c r="O25" s="17">
        <v>11.499500000000001</v>
      </c>
      <c r="P25" s="17">
        <v>7.3708499999999999</v>
      </c>
      <c r="Q25" s="17">
        <v>5.1187000000000005</v>
      </c>
      <c r="R25" s="17">
        <v>5.1391000000000009</v>
      </c>
      <c r="S25" s="17">
        <v>6.5339999999999998</v>
      </c>
      <c r="T25" s="17">
        <v>6.5739999999999998</v>
      </c>
      <c r="U25" s="17">
        <v>11.653</v>
      </c>
      <c r="V25" s="17">
        <v>7.5779999999999994</v>
      </c>
      <c r="W25" s="17">
        <v>21.762999999999998</v>
      </c>
      <c r="X25" s="17">
        <v>16.837</v>
      </c>
      <c r="Y25" s="17">
        <v>11.724</v>
      </c>
      <c r="Z25" s="17">
        <v>7.4529999999999994</v>
      </c>
      <c r="AA25" s="17">
        <v>7.2754669999999999</v>
      </c>
      <c r="AB25" s="17">
        <v>6.1180000000000003</v>
      </c>
      <c r="AC25" s="17">
        <v>11.55</v>
      </c>
      <c r="AD25" s="17">
        <v>12.253</v>
      </c>
      <c r="AE25" s="17">
        <v>25.463000000000001</v>
      </c>
      <c r="AF25" s="17">
        <v>9.9430000000000014</v>
      </c>
      <c r="AG25" s="17">
        <v>13.137</v>
      </c>
      <c r="AH25" s="17">
        <v>8.5289999999999999</v>
      </c>
      <c r="AI25" s="17">
        <v>11.222999999999999</v>
      </c>
      <c r="AJ25" s="17">
        <v>13.822699999999999</v>
      </c>
      <c r="AK25" s="17">
        <v>24.140999999999998</v>
      </c>
      <c r="AL25" s="17">
        <v>10.827999999999999</v>
      </c>
      <c r="AM25" s="17">
        <v>12.218999999999999</v>
      </c>
      <c r="AN25" s="17">
        <v>9.9350000000000005</v>
      </c>
      <c r="AO25" s="17">
        <v>17.486000000000001</v>
      </c>
      <c r="AP25" s="17">
        <v>16.250999999999998</v>
      </c>
      <c r="AQ25" s="17">
        <v>15.095000000000001</v>
      </c>
      <c r="AR25" s="17">
        <v>13.777999999999999</v>
      </c>
      <c r="AS25" s="17">
        <v>15.67</v>
      </c>
      <c r="AT25" s="17">
        <v>19.765000000000001</v>
      </c>
      <c r="AU25" s="17">
        <v>17.048138999999999</v>
      </c>
      <c r="AV25" s="17">
        <v>22.757053999999997</v>
      </c>
      <c r="AW25" s="17">
        <v>24.71388</v>
      </c>
      <c r="AX25" s="17">
        <v>37.048000000000002</v>
      </c>
      <c r="AY25" s="17">
        <v>28.320000000000004</v>
      </c>
      <c r="AZ25" s="17">
        <v>30.802999999999997</v>
      </c>
      <c r="BA25" s="17">
        <v>25.206</v>
      </c>
      <c r="BB25" s="17">
        <v>39.935000000000002</v>
      </c>
      <c r="BC25" s="17">
        <v>41.404000000000003</v>
      </c>
      <c r="BD25" s="17">
        <v>40.777999999999999</v>
      </c>
      <c r="BE25" s="17">
        <v>45.704535000000007</v>
      </c>
      <c r="BF25" s="17">
        <v>50.885000000000005</v>
      </c>
      <c r="BG25" s="17">
        <v>55.75</v>
      </c>
      <c r="BH25" s="17">
        <v>50.438000000000002</v>
      </c>
      <c r="BI25" s="17">
        <v>48.997</v>
      </c>
      <c r="BJ25" s="17">
        <v>76.013999999999996</v>
      </c>
      <c r="BK25" s="17">
        <v>101.623</v>
      </c>
      <c r="BL25" s="17">
        <v>120.928</v>
      </c>
      <c r="BM25" s="17">
        <v>152.04899999999998</v>
      </c>
      <c r="BN25" s="17">
        <v>152.24600000000001</v>
      </c>
      <c r="BO25" s="17">
        <v>160.761</v>
      </c>
      <c r="BP25" s="17">
        <v>163.41300000000001</v>
      </c>
      <c r="BQ25" s="17">
        <v>189.36700000000002</v>
      </c>
      <c r="BR25" s="17">
        <v>214.42999999999995</v>
      </c>
      <c r="BS25" s="17">
        <v>178.59200000000001</v>
      </c>
      <c r="BT25" s="17">
        <v>172.376</v>
      </c>
      <c r="BU25" s="17">
        <v>169.85999999999999</v>
      </c>
      <c r="BV25" s="17">
        <v>190.87200000000001</v>
      </c>
      <c r="BW25" s="17">
        <v>200.36500000000001</v>
      </c>
      <c r="BX25" s="17">
        <v>190.483</v>
      </c>
      <c r="BY25" s="17">
        <v>193.208</v>
      </c>
      <c r="BZ25" s="17">
        <v>192.572</v>
      </c>
      <c r="CA25" s="17">
        <v>195.86599999999999</v>
      </c>
      <c r="CB25" s="17">
        <v>241.80903967000023</v>
      </c>
      <c r="CC25" s="17">
        <v>259.62449300000003</v>
      </c>
      <c r="CD25" s="17">
        <v>258.8740850600002</v>
      </c>
      <c r="CE25" s="17">
        <v>284.27387153000063</v>
      </c>
      <c r="CF25" s="17">
        <v>294.40912495000003</v>
      </c>
      <c r="CG25" s="17">
        <v>328.11653231813466</v>
      </c>
      <c r="CH25" s="17">
        <v>354.58873917000051</v>
      </c>
      <c r="CI25" s="17">
        <v>326.22639359000038</v>
      </c>
      <c r="CJ25" s="17">
        <v>343.05900092000036</v>
      </c>
      <c r="CK25" s="17">
        <v>325.18069690000004</v>
      </c>
      <c r="CL25" s="17">
        <v>306.77327922999973</v>
      </c>
      <c r="CM25" s="17">
        <v>293.37706711000021</v>
      </c>
      <c r="CN25" s="17">
        <v>291.56794535831733</v>
      </c>
      <c r="CO25" s="17">
        <v>296.99678598748949</v>
      </c>
      <c r="CP25" s="17">
        <v>279.33821151293546</v>
      </c>
      <c r="CQ25" s="17">
        <v>287.11823408864166</v>
      </c>
      <c r="CR25" s="17">
        <v>296.06669920351203</v>
      </c>
      <c r="CS25" s="17">
        <v>291.7855953769967</v>
      </c>
      <c r="CT25" s="17">
        <v>261.1363075655762</v>
      </c>
      <c r="CU25" s="17">
        <v>240.01305230865762</v>
      </c>
      <c r="CV25" s="17">
        <v>259.09904381689671</v>
      </c>
      <c r="CW25" s="17">
        <v>288.52515710115193</v>
      </c>
      <c r="CX25" s="17">
        <v>262.31427885755414</v>
      </c>
      <c r="CY25" s="17">
        <v>326.90388531980966</v>
      </c>
      <c r="CZ25" s="17">
        <v>239.84303566661197</v>
      </c>
      <c r="DA25" s="17">
        <v>318.57301136934052</v>
      </c>
      <c r="DB25" s="17">
        <v>254.83786407244472</v>
      </c>
      <c r="DC25" s="17">
        <v>306.74510124126334</v>
      </c>
      <c r="DD25" s="17">
        <v>340.66291798379973</v>
      </c>
      <c r="DE25" s="17">
        <v>316.53448077036143</v>
      </c>
      <c r="DF25" s="17">
        <v>296.18908316000011</v>
      </c>
      <c r="DG25" s="17">
        <v>291.52132565137128</v>
      </c>
    </row>
    <row r="26" spans="1:111" x14ac:dyDescent="0.3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</row>
    <row r="27" spans="1:111" x14ac:dyDescent="0.3">
      <c r="A27" s="1" t="s">
        <v>18</v>
      </c>
      <c r="B27" s="58"/>
      <c r="C27" s="58"/>
      <c r="D27" s="58"/>
      <c r="E27" s="58"/>
      <c r="F27" s="58"/>
      <c r="G27" s="58"/>
      <c r="H27" s="58"/>
      <c r="I27" s="58"/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  <c r="AP27" s="9">
        <v>0</v>
      </c>
      <c r="AQ27" s="9">
        <v>0</v>
      </c>
      <c r="AR27" s="9">
        <v>0</v>
      </c>
      <c r="AS27" s="9">
        <v>0</v>
      </c>
      <c r="AT27" s="9">
        <v>0</v>
      </c>
      <c r="AU27" s="9">
        <v>0</v>
      </c>
      <c r="AV27" s="9">
        <v>2.6921655210524382</v>
      </c>
      <c r="AW27" s="9">
        <v>3.6719469345260203</v>
      </c>
      <c r="AX27" s="9">
        <v>5.5542136434972438</v>
      </c>
      <c r="AY27" s="9">
        <v>7.5756032095565375</v>
      </c>
      <c r="AZ27" s="9">
        <v>10.33265331012862</v>
      </c>
      <c r="BA27" s="9">
        <v>14.09309879015715</v>
      </c>
      <c r="BB27" s="9">
        <v>19.222113386349228</v>
      </c>
      <c r="BC27" s="9">
        <v>26.21777144539168</v>
      </c>
      <c r="BD27" s="9">
        <v>35.311648919999996</v>
      </c>
      <c r="BE27" s="9">
        <v>52.584743680000003</v>
      </c>
      <c r="BF27" s="9">
        <v>44.487559579999996</v>
      </c>
      <c r="BG27" s="9">
        <v>67.922845010000003</v>
      </c>
      <c r="BH27" s="9">
        <v>31.475475029999998</v>
      </c>
      <c r="BI27" s="9">
        <v>57.861472790000001</v>
      </c>
      <c r="BJ27" s="9">
        <v>66.826783239999997</v>
      </c>
      <c r="BK27" s="9">
        <v>75.577303009999994</v>
      </c>
      <c r="BL27" s="9">
        <v>71.072690016439992</v>
      </c>
      <c r="BM27" s="9">
        <v>55.748710050319985</v>
      </c>
      <c r="BN27" s="9">
        <v>99.746156677785279</v>
      </c>
      <c r="BO27" s="9">
        <v>204.29991312487101</v>
      </c>
      <c r="BP27" s="9">
        <v>140.82750637534389</v>
      </c>
      <c r="BQ27" s="9">
        <v>140.32211844241203</v>
      </c>
      <c r="BR27" s="9">
        <v>132.39385380320664</v>
      </c>
      <c r="BS27" s="9">
        <v>140.54124633869665</v>
      </c>
      <c r="BT27" s="9">
        <v>173.46146620340005</v>
      </c>
      <c r="BU27" s="9">
        <v>204.31659993000014</v>
      </c>
      <c r="BV27" s="9">
        <v>183.18433891690034</v>
      </c>
      <c r="BW27" s="9">
        <v>242.58163728922008</v>
      </c>
      <c r="BX27" s="9">
        <v>167.83217077999998</v>
      </c>
      <c r="BY27" s="9">
        <v>111.53487828999961</v>
      </c>
      <c r="BZ27" s="9">
        <v>118.91478781999948</v>
      </c>
      <c r="CA27" s="9">
        <v>130.05494340000001</v>
      </c>
      <c r="CB27" s="9">
        <v>85.103425029999258</v>
      </c>
      <c r="CC27" s="9">
        <v>84.285071330309748</v>
      </c>
      <c r="CD27" s="9">
        <v>98.567127259999552</v>
      </c>
      <c r="CE27" s="9">
        <v>87.881061020001596</v>
      </c>
      <c r="CF27" s="9">
        <v>93.404946099999705</v>
      </c>
      <c r="CG27" s="9">
        <v>103.48092011999935</v>
      </c>
      <c r="CH27" s="9">
        <v>112.96609378000045</v>
      </c>
      <c r="CI27" s="9">
        <v>143.87380966550114</v>
      </c>
      <c r="CJ27" s="9">
        <v>111.72227763000032</v>
      </c>
      <c r="CK27" s="9">
        <v>99.986514110000527</v>
      </c>
      <c r="CL27" s="9">
        <v>106.79303237052486</v>
      </c>
      <c r="CM27" s="9">
        <v>102.75980599993086</v>
      </c>
      <c r="CN27" s="9">
        <v>85.540429844350001</v>
      </c>
      <c r="CO27" s="9">
        <v>100.58247515182001</v>
      </c>
      <c r="CP27" s="9">
        <v>99.186254988660025</v>
      </c>
      <c r="CQ27" s="9">
        <v>129.28149135949991</v>
      </c>
      <c r="CR27" s="9">
        <v>97.90146273864994</v>
      </c>
      <c r="CS27" s="9">
        <v>112.21267587337999</v>
      </c>
      <c r="CT27" s="9">
        <v>96.370966938749987</v>
      </c>
      <c r="CU27" s="9">
        <v>92.640463410459986</v>
      </c>
      <c r="CV27" s="9">
        <v>103.50982644532237</v>
      </c>
      <c r="CW27" s="9">
        <v>97.176953195123872</v>
      </c>
      <c r="CX27" s="9">
        <v>93.148774144330019</v>
      </c>
      <c r="CY27" s="9">
        <v>125.40039571788004</v>
      </c>
      <c r="CZ27" s="9">
        <v>134.88889116533005</v>
      </c>
      <c r="DA27" s="9">
        <v>130.24195767315001</v>
      </c>
      <c r="DB27" s="9">
        <v>125.51414354123997</v>
      </c>
      <c r="DC27" s="9">
        <v>158.39522926001015</v>
      </c>
      <c r="DD27" s="9">
        <v>162.20213513678317</v>
      </c>
      <c r="DE27" s="9">
        <v>142.91912400678004</v>
      </c>
      <c r="DF27" s="9">
        <v>123.47868293610998</v>
      </c>
      <c r="DG27" s="9">
        <v>121.8168244893848</v>
      </c>
    </row>
    <row r="28" spans="1:111" x14ac:dyDescent="0.3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</row>
    <row r="29" spans="1:111" x14ac:dyDescent="0.3">
      <c r="A29" s="1" t="s">
        <v>19</v>
      </c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9">
        <v>11.902000000000001</v>
      </c>
      <c r="AE29" s="9">
        <v>24.829000000000001</v>
      </c>
      <c r="AF29" s="9">
        <v>9.1170000000000009</v>
      </c>
      <c r="AG29" s="9">
        <v>12.672000000000001</v>
      </c>
      <c r="AH29" s="9">
        <v>8.4720000000000013</v>
      </c>
      <c r="AI29" s="9">
        <v>11.082885000000001</v>
      </c>
      <c r="AJ29" s="9">
        <v>13.201699999999999</v>
      </c>
      <c r="AK29" s="9">
        <v>23.895</v>
      </c>
      <c r="AL29" s="9">
        <v>10.747</v>
      </c>
      <c r="AM29" s="9">
        <v>11.981999999999999</v>
      </c>
      <c r="AN29" s="9">
        <v>9.2289999999999992</v>
      </c>
      <c r="AO29" s="9">
        <v>16.981999999999999</v>
      </c>
      <c r="AP29" s="9">
        <v>16.067</v>
      </c>
      <c r="AQ29" s="9">
        <v>14.587</v>
      </c>
      <c r="AR29" s="9">
        <v>12.122</v>
      </c>
      <c r="AS29" s="9">
        <v>13.699</v>
      </c>
      <c r="AT29" s="9">
        <v>17.687999999999999</v>
      </c>
      <c r="AU29" s="9">
        <v>14.179139000000001</v>
      </c>
      <c r="AV29" s="9">
        <v>16.921053999999998</v>
      </c>
      <c r="AW29" s="9">
        <v>21.331879999999998</v>
      </c>
      <c r="AX29" s="9">
        <v>30.751999999999995</v>
      </c>
      <c r="AY29" s="9">
        <v>24.487000000000002</v>
      </c>
      <c r="AZ29" s="9">
        <v>23.104999999999997</v>
      </c>
      <c r="BA29" s="9">
        <v>18.673999999999999</v>
      </c>
      <c r="BB29" s="9">
        <v>39.935000000000002</v>
      </c>
      <c r="BC29" s="9">
        <v>41.404000000000003</v>
      </c>
      <c r="BD29" s="9">
        <v>40.777999999999999</v>
      </c>
      <c r="BE29" s="9">
        <v>45.704535000000007</v>
      </c>
      <c r="BF29" s="9">
        <v>50.885000000000005</v>
      </c>
      <c r="BG29" s="9">
        <v>55.75</v>
      </c>
      <c r="BH29" s="9">
        <v>50.438000000000002</v>
      </c>
      <c r="BI29" s="9">
        <v>48.997</v>
      </c>
      <c r="BJ29" s="9">
        <v>76.013999999999996</v>
      </c>
      <c r="BK29" s="9">
        <v>101.623</v>
      </c>
      <c r="BL29" s="9">
        <v>120.928</v>
      </c>
      <c r="BM29" s="9">
        <v>152.04899999999998</v>
      </c>
      <c r="BN29" s="9">
        <v>152.24600000000001</v>
      </c>
      <c r="BO29" s="9">
        <v>160.761</v>
      </c>
      <c r="BP29" s="9">
        <v>163.41300000000001</v>
      </c>
      <c r="BQ29" s="9">
        <v>189.36700000000002</v>
      </c>
      <c r="BR29" s="9">
        <v>214.42999999999995</v>
      </c>
      <c r="BS29" s="9">
        <v>178.59200000000001</v>
      </c>
      <c r="BT29" s="9">
        <v>172.376</v>
      </c>
      <c r="BU29" s="9">
        <v>169.85999999999999</v>
      </c>
      <c r="BV29" s="9">
        <v>190.87200000000001</v>
      </c>
      <c r="BW29" s="9">
        <v>200.36500000000001</v>
      </c>
      <c r="BX29" s="9">
        <v>190.483</v>
      </c>
      <c r="BY29" s="9">
        <v>193.208</v>
      </c>
      <c r="BZ29" s="9">
        <v>192.572</v>
      </c>
      <c r="CA29" s="9">
        <v>195.86599999999999</v>
      </c>
      <c r="CB29" s="9">
        <v>241.80903967000023</v>
      </c>
      <c r="CC29" s="9">
        <v>259.62449300000003</v>
      </c>
      <c r="CD29" s="9">
        <v>258.8740850600002</v>
      </c>
      <c r="CE29" s="9">
        <v>284.27387153000063</v>
      </c>
      <c r="CF29" s="9">
        <v>294.40912495000003</v>
      </c>
      <c r="CG29" s="9">
        <v>328.11653231813466</v>
      </c>
      <c r="CH29" s="9">
        <v>354.58873917000051</v>
      </c>
      <c r="CI29" s="9">
        <v>326.22639359000038</v>
      </c>
      <c r="CJ29" s="9">
        <v>343.05900092000036</v>
      </c>
      <c r="CK29" s="9">
        <v>325.18069690000004</v>
      </c>
      <c r="CL29" s="9">
        <v>306.77327922999973</v>
      </c>
      <c r="CM29" s="9">
        <v>293.37706711000021</v>
      </c>
      <c r="CN29" s="9">
        <v>291.56794535831733</v>
      </c>
      <c r="CO29" s="9">
        <v>296.99678598748949</v>
      </c>
      <c r="CP29" s="9">
        <v>279.33821151293546</v>
      </c>
      <c r="CQ29" s="9">
        <v>287.11823408864166</v>
      </c>
      <c r="CR29" s="9">
        <v>296.06669920351203</v>
      </c>
      <c r="CS29" s="9">
        <v>291.7855953769967</v>
      </c>
      <c r="CT29" s="9">
        <v>261.1363075655762</v>
      </c>
      <c r="CU29" s="9">
        <v>240.01305230865762</v>
      </c>
      <c r="CV29" s="9">
        <v>259.09904381689671</v>
      </c>
      <c r="CW29" s="9">
        <v>288.52515710115193</v>
      </c>
      <c r="CX29" s="9">
        <v>262.31427885755414</v>
      </c>
      <c r="CY29" s="9">
        <v>326.90388531980966</v>
      </c>
      <c r="CZ29" s="9">
        <v>239.84303566661197</v>
      </c>
      <c r="DA29" s="9">
        <v>318.57301136934052</v>
      </c>
      <c r="DB29" s="9">
        <v>254.83786407244472</v>
      </c>
      <c r="DC29" s="9">
        <v>306.74510124126334</v>
      </c>
      <c r="DD29" s="9">
        <v>340.66291798379973</v>
      </c>
      <c r="DE29" s="9">
        <v>316.53448077036143</v>
      </c>
      <c r="DF29" s="9">
        <v>296.18908316000011</v>
      </c>
      <c r="DG29" s="9">
        <v>291.52132565137128</v>
      </c>
    </row>
    <row r="30" spans="1:111" x14ac:dyDescent="0.3">
      <c r="A30" s="19" t="s">
        <v>20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14">
        <v>0</v>
      </c>
      <c r="AE30" s="14">
        <v>0</v>
      </c>
      <c r="AF30" s="14">
        <v>0</v>
      </c>
      <c r="AG30" s="14">
        <v>0</v>
      </c>
      <c r="AH30" s="14">
        <v>0</v>
      </c>
      <c r="AI30" s="14">
        <v>0</v>
      </c>
      <c r="AJ30" s="14">
        <v>0</v>
      </c>
      <c r="AK30" s="14">
        <v>0</v>
      </c>
      <c r="AL30" s="14">
        <v>0</v>
      </c>
      <c r="AM30" s="14">
        <v>0</v>
      </c>
      <c r="AN30" s="14">
        <v>0</v>
      </c>
      <c r="AO30" s="14">
        <v>0</v>
      </c>
      <c r="AP30" s="14">
        <v>0</v>
      </c>
      <c r="AQ30" s="14">
        <v>0</v>
      </c>
      <c r="AR30" s="14">
        <v>0</v>
      </c>
      <c r="AS30" s="14">
        <v>0</v>
      </c>
      <c r="AT30" s="14">
        <v>0</v>
      </c>
      <c r="AU30" s="14">
        <v>0</v>
      </c>
      <c r="AV30" s="14">
        <v>0</v>
      </c>
      <c r="AW30" s="14">
        <v>0</v>
      </c>
      <c r="AX30" s="14">
        <v>0</v>
      </c>
      <c r="AY30" s="14">
        <v>0</v>
      </c>
      <c r="AZ30" s="14">
        <v>0</v>
      </c>
      <c r="BA30" s="14">
        <v>0</v>
      </c>
      <c r="BB30" s="14">
        <v>0</v>
      </c>
      <c r="BC30" s="14">
        <v>0</v>
      </c>
      <c r="BD30" s="14">
        <v>0</v>
      </c>
      <c r="BE30" s="14">
        <v>0</v>
      </c>
      <c r="BF30" s="14">
        <v>0</v>
      </c>
      <c r="BG30" s="14">
        <v>0</v>
      </c>
      <c r="BH30" s="14">
        <v>0</v>
      </c>
      <c r="BI30" s="14">
        <v>0</v>
      </c>
      <c r="BJ30" s="14">
        <v>0</v>
      </c>
      <c r="BK30" s="14">
        <v>0</v>
      </c>
      <c r="BL30" s="14">
        <v>0</v>
      </c>
      <c r="BM30" s="14">
        <v>0</v>
      </c>
      <c r="BN30" s="14">
        <v>0</v>
      </c>
      <c r="BO30" s="14">
        <v>0</v>
      </c>
      <c r="BP30" s="14">
        <v>0</v>
      </c>
      <c r="BQ30" s="14">
        <v>3.4039999999999999</v>
      </c>
      <c r="BR30" s="14">
        <v>4.1389999999999993</v>
      </c>
      <c r="BS30" s="14">
        <v>2.8960000000000004</v>
      </c>
      <c r="BT30" s="14">
        <v>0</v>
      </c>
      <c r="BU30" s="14">
        <v>1.6019999999999999</v>
      </c>
      <c r="BV30" s="14">
        <v>1.9020000000000001</v>
      </c>
      <c r="BW30" s="14">
        <v>2.1040000000000001</v>
      </c>
      <c r="BX30" s="14">
        <v>0</v>
      </c>
      <c r="BY30" s="14">
        <v>2.9619999999999997</v>
      </c>
      <c r="BZ30" s="14">
        <v>2.1280000000000001</v>
      </c>
      <c r="CA30" s="14">
        <v>2.423</v>
      </c>
      <c r="CB30" s="14">
        <v>0</v>
      </c>
      <c r="CC30" s="14">
        <v>3.6126831100000003</v>
      </c>
      <c r="CD30" s="14">
        <v>4.5539967200000016</v>
      </c>
      <c r="CE30" s="14">
        <v>4.9214990800000002</v>
      </c>
      <c r="CF30" s="14">
        <v>0</v>
      </c>
      <c r="CG30" s="14">
        <v>3.5384343500000002</v>
      </c>
      <c r="CH30" s="14">
        <v>4.5513084500000005</v>
      </c>
      <c r="CI30" s="14">
        <v>4.4575835199999991</v>
      </c>
      <c r="CJ30" s="14">
        <v>0</v>
      </c>
      <c r="CK30" s="14">
        <v>4.3509843099999994</v>
      </c>
      <c r="CL30" s="14">
        <v>3.3143435100000005</v>
      </c>
      <c r="CM30" s="14">
        <v>3.4327614400000002</v>
      </c>
      <c r="CN30" s="14">
        <v>3.3125389040000011</v>
      </c>
      <c r="CO30" s="14">
        <v>3.2896537838542481</v>
      </c>
      <c r="CP30" s="14">
        <v>3.1130073306989825</v>
      </c>
      <c r="CQ30" s="14">
        <v>2.6421415040000014</v>
      </c>
      <c r="CR30" s="14">
        <v>3.8571264223540851</v>
      </c>
      <c r="CS30" s="14">
        <v>3.1272111234998419</v>
      </c>
      <c r="CT30" s="14">
        <v>3.0670646477344494</v>
      </c>
      <c r="CU30" s="14">
        <v>2.6584862427897265</v>
      </c>
      <c r="CV30" s="14">
        <v>2.2751789589999993</v>
      </c>
      <c r="CW30" s="14">
        <v>2.5205787410000005</v>
      </c>
      <c r="CX30" s="14">
        <v>1.3220640782966824</v>
      </c>
      <c r="CY30" s="14">
        <v>2.0112446688380605</v>
      </c>
      <c r="CZ30" s="14">
        <v>2.5227185736994961</v>
      </c>
      <c r="DA30" s="14">
        <v>2.683988639044022</v>
      </c>
      <c r="DB30" s="14">
        <v>2.3137186290200011</v>
      </c>
      <c r="DC30" s="14">
        <v>2.2487024841443191</v>
      </c>
      <c r="DD30" s="14">
        <v>2.3487802121098529</v>
      </c>
      <c r="DE30" s="14">
        <v>2.3489235261210109</v>
      </c>
      <c r="DF30" s="14">
        <v>2.6399934699999994</v>
      </c>
      <c r="DG30" s="14">
        <v>2.0698460300000003</v>
      </c>
    </row>
    <row r="31" spans="1:111" x14ac:dyDescent="0.3">
      <c r="A31" s="20" t="s">
        <v>21</v>
      </c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14">
        <v>0</v>
      </c>
      <c r="AE31" s="14">
        <v>0</v>
      </c>
      <c r="AF31" s="14">
        <v>0</v>
      </c>
      <c r="AG31" s="14">
        <v>0</v>
      </c>
      <c r="AH31" s="14">
        <v>0</v>
      </c>
      <c r="AI31" s="14">
        <v>0</v>
      </c>
      <c r="AJ31" s="14">
        <v>0</v>
      </c>
      <c r="AK31" s="14">
        <v>0</v>
      </c>
      <c r="AL31" s="14">
        <v>0</v>
      </c>
      <c r="AM31" s="14">
        <v>0</v>
      </c>
      <c r="AN31" s="14">
        <v>0</v>
      </c>
      <c r="AO31" s="14">
        <v>0</v>
      </c>
      <c r="AP31" s="14">
        <v>0</v>
      </c>
      <c r="AQ31" s="14">
        <v>0</v>
      </c>
      <c r="AR31" s="14">
        <v>0.63500000000000001</v>
      </c>
      <c r="AS31" s="14">
        <v>1.1930000000000001</v>
      </c>
      <c r="AT31" s="14">
        <v>1.528</v>
      </c>
      <c r="AU31" s="14">
        <v>1.5819999999999999</v>
      </c>
      <c r="AV31" s="14">
        <v>2.0950000000000002</v>
      </c>
      <c r="AW31" s="14">
        <v>2.1840000000000002</v>
      </c>
      <c r="AX31" s="14">
        <v>4.4240000000000004</v>
      </c>
      <c r="AY31" s="14">
        <v>3.1550000000000002</v>
      </c>
      <c r="AZ31" s="14">
        <v>4.0430000000000001</v>
      </c>
      <c r="BA31" s="14">
        <v>4.8970000000000002</v>
      </c>
      <c r="BB31" s="14">
        <v>5.9960000000000004</v>
      </c>
      <c r="BC31" s="14">
        <v>6.9280000000000008</v>
      </c>
      <c r="BD31" s="14">
        <v>6.5630000000000006</v>
      </c>
      <c r="BE31" s="14">
        <v>6.6838750000000005</v>
      </c>
      <c r="BF31" s="14">
        <v>10.042999999999999</v>
      </c>
      <c r="BG31" s="14">
        <v>10.561</v>
      </c>
      <c r="BH31" s="14">
        <v>3.7360000000000002</v>
      </c>
      <c r="BI31" s="14">
        <v>3.726</v>
      </c>
      <c r="BJ31" s="14">
        <v>13.001999999999999</v>
      </c>
      <c r="BK31" s="14">
        <v>13.952999999999999</v>
      </c>
      <c r="BL31" s="14">
        <v>15.497</v>
      </c>
      <c r="BM31" s="14">
        <v>17.856000000000002</v>
      </c>
      <c r="BN31" s="14">
        <v>19.880000000000003</v>
      </c>
      <c r="BO31" s="14">
        <v>21.094999999999999</v>
      </c>
      <c r="BP31" s="14">
        <v>23.687000000000001</v>
      </c>
      <c r="BQ31" s="14">
        <v>29.774000000000001</v>
      </c>
      <c r="BR31" s="14">
        <v>35.888000000000005</v>
      </c>
      <c r="BS31" s="14">
        <v>28.559000000000001</v>
      </c>
      <c r="BT31" s="14">
        <v>23.057000000000002</v>
      </c>
      <c r="BU31" s="14">
        <v>24.385999999999999</v>
      </c>
      <c r="BV31" s="14">
        <v>23.691000000000003</v>
      </c>
      <c r="BW31" s="14">
        <v>25.245000000000001</v>
      </c>
      <c r="BX31" s="14">
        <v>19.691000000000003</v>
      </c>
      <c r="BY31" s="14">
        <v>22.975000000000001</v>
      </c>
      <c r="BZ31" s="14">
        <v>24.18</v>
      </c>
      <c r="CA31" s="14">
        <v>23.979000000000003</v>
      </c>
      <c r="CB31" s="14">
        <v>26.284358639999997</v>
      </c>
      <c r="CC31" s="14">
        <v>35.572357420000017</v>
      </c>
      <c r="CD31" s="14">
        <v>29.586838999999983</v>
      </c>
      <c r="CE31" s="14">
        <v>30.53293618999999</v>
      </c>
      <c r="CF31" s="14">
        <v>32.127607990000023</v>
      </c>
      <c r="CG31" s="14">
        <v>31.509310839999998</v>
      </c>
      <c r="CH31" s="14">
        <v>38.158930239999997</v>
      </c>
      <c r="CI31" s="14">
        <v>31.859473699999992</v>
      </c>
      <c r="CJ31" s="14">
        <v>31.423333950000007</v>
      </c>
      <c r="CK31" s="14">
        <v>35.506652940000009</v>
      </c>
      <c r="CL31" s="14">
        <v>37.788433690000012</v>
      </c>
      <c r="CM31" s="14">
        <v>32.905379299999979</v>
      </c>
      <c r="CN31" s="14">
        <v>29.968807278000007</v>
      </c>
      <c r="CO31" s="14">
        <v>34.635016802468215</v>
      </c>
      <c r="CP31" s="14">
        <v>35.479709238285132</v>
      </c>
      <c r="CQ31" s="14">
        <v>31.947503666007922</v>
      </c>
      <c r="CR31" s="14">
        <v>33.725165088839312</v>
      </c>
      <c r="CS31" s="14">
        <v>26.851144163561226</v>
      </c>
      <c r="CT31" s="14">
        <v>30.63413596132451</v>
      </c>
      <c r="CU31" s="14">
        <v>28.784862219490876</v>
      </c>
      <c r="CV31" s="14">
        <v>16.437706649399605</v>
      </c>
      <c r="CW31" s="14">
        <v>23.703237845276064</v>
      </c>
      <c r="CX31" s="14">
        <v>29.584857261516241</v>
      </c>
      <c r="CY31" s="14">
        <v>30.099784647094427</v>
      </c>
      <c r="CZ31" s="14">
        <v>20.81735324619153</v>
      </c>
      <c r="DA31" s="14">
        <v>25.587299507961227</v>
      </c>
      <c r="DB31" s="14">
        <v>28.325671215315591</v>
      </c>
      <c r="DC31" s="14">
        <v>24.043559815487299</v>
      </c>
      <c r="DD31" s="14">
        <v>28.064378302041185</v>
      </c>
      <c r="DE31" s="14">
        <v>30.650618509039493</v>
      </c>
      <c r="DF31" s="14">
        <v>38.113631470000016</v>
      </c>
      <c r="DG31" s="14">
        <v>31.41647623999998</v>
      </c>
    </row>
    <row r="32" spans="1:111" x14ac:dyDescent="0.3">
      <c r="A32" s="21" t="s">
        <v>22</v>
      </c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14">
        <v>0</v>
      </c>
      <c r="AE32" s="14">
        <v>0</v>
      </c>
      <c r="AF32" s="14">
        <v>0</v>
      </c>
      <c r="AG32" s="14">
        <v>0</v>
      </c>
      <c r="AH32" s="14">
        <v>0</v>
      </c>
      <c r="AI32" s="14">
        <v>0</v>
      </c>
      <c r="AJ32" s="14">
        <v>0</v>
      </c>
      <c r="AK32" s="14">
        <v>0</v>
      </c>
      <c r="AL32" s="14">
        <v>0</v>
      </c>
      <c r="AM32" s="14">
        <v>0</v>
      </c>
      <c r="AN32" s="14">
        <v>0</v>
      </c>
      <c r="AO32" s="14">
        <v>0</v>
      </c>
      <c r="AP32" s="14">
        <v>0</v>
      </c>
      <c r="AQ32" s="14">
        <v>0</v>
      </c>
      <c r="AR32" s="14">
        <v>0</v>
      </c>
      <c r="AS32" s="14">
        <v>0</v>
      </c>
      <c r="AT32" s="14">
        <v>0</v>
      </c>
      <c r="AU32" s="14">
        <v>0</v>
      </c>
      <c r="AV32" s="14">
        <v>0</v>
      </c>
      <c r="AW32" s="14">
        <v>0</v>
      </c>
      <c r="AX32" s="14">
        <v>0</v>
      </c>
      <c r="AY32" s="14">
        <v>0</v>
      </c>
      <c r="AZ32" s="14">
        <v>0</v>
      </c>
      <c r="BA32" s="14">
        <v>0</v>
      </c>
      <c r="BB32" s="14">
        <v>0</v>
      </c>
      <c r="BC32" s="14">
        <v>0</v>
      </c>
      <c r="BD32" s="14">
        <v>0</v>
      </c>
      <c r="BE32" s="14">
        <v>0</v>
      </c>
      <c r="BF32" s="14">
        <v>0</v>
      </c>
      <c r="BG32" s="14">
        <v>0</v>
      </c>
      <c r="BH32" s="14">
        <v>0</v>
      </c>
      <c r="BI32" s="14">
        <v>0</v>
      </c>
      <c r="BJ32" s="14">
        <v>0</v>
      </c>
      <c r="BK32" s="14">
        <v>0</v>
      </c>
      <c r="BL32" s="14">
        <v>0</v>
      </c>
      <c r="BM32" s="14">
        <v>0</v>
      </c>
      <c r="BN32" s="14">
        <v>0</v>
      </c>
      <c r="BO32" s="14">
        <v>8.3719999999999999</v>
      </c>
      <c r="BP32" s="14">
        <v>8.23</v>
      </c>
      <c r="BQ32" s="14">
        <v>10.384</v>
      </c>
      <c r="BR32" s="14">
        <v>12.285</v>
      </c>
      <c r="BS32" s="14">
        <v>9.0489999999999995</v>
      </c>
      <c r="BT32" s="14">
        <v>7.5440000000000005</v>
      </c>
      <c r="BU32" s="14">
        <v>7.5070000000000006</v>
      </c>
      <c r="BV32" s="14">
        <v>6.3540000000000001</v>
      </c>
      <c r="BW32" s="14">
        <v>8.6859999999999999</v>
      </c>
      <c r="BX32" s="14">
        <v>5.891</v>
      </c>
      <c r="BY32" s="14">
        <v>5.6470000000000002</v>
      </c>
      <c r="BZ32" s="14">
        <v>4.1280000000000001</v>
      </c>
      <c r="CA32" s="14">
        <v>5.2889999999999997</v>
      </c>
      <c r="CB32" s="14">
        <v>5.3165327000000016</v>
      </c>
      <c r="CC32" s="14">
        <v>6.7614345499999953</v>
      </c>
      <c r="CD32" s="14">
        <v>5.15828183</v>
      </c>
      <c r="CE32" s="14">
        <v>5.7882877299999969</v>
      </c>
      <c r="CF32" s="14">
        <v>5.7006501900000011</v>
      </c>
      <c r="CG32" s="14">
        <v>6.5047772899999954</v>
      </c>
      <c r="CH32" s="14">
        <v>5.881824390000002</v>
      </c>
      <c r="CI32" s="14">
        <v>7.2748621100000044</v>
      </c>
      <c r="CJ32" s="14">
        <v>6.2457885299999969</v>
      </c>
      <c r="CK32" s="14">
        <v>6.0284950700000017</v>
      </c>
      <c r="CL32" s="14">
        <v>5.5960931399999989</v>
      </c>
      <c r="CM32" s="14">
        <v>5.8050225900000019</v>
      </c>
      <c r="CN32" s="14">
        <v>4.0598361999999995</v>
      </c>
      <c r="CO32" s="14">
        <v>4.0107704840049481</v>
      </c>
      <c r="CP32" s="14">
        <v>2.3708045139999996</v>
      </c>
      <c r="CQ32" s="14">
        <v>2.8652669278435434</v>
      </c>
      <c r="CR32" s="14">
        <v>2.9858623188470768</v>
      </c>
      <c r="CS32" s="14">
        <v>2.8839327777784329</v>
      </c>
      <c r="CT32" s="14">
        <v>2.217591554000002</v>
      </c>
      <c r="CU32" s="14">
        <v>1.961822862</v>
      </c>
      <c r="CV32" s="14">
        <v>1.9316235369999997</v>
      </c>
      <c r="CW32" s="14">
        <v>3.136598212</v>
      </c>
      <c r="CX32" s="14">
        <v>2.7170370208400376</v>
      </c>
      <c r="CY32" s="14">
        <v>3.19184368139606</v>
      </c>
      <c r="CZ32" s="14">
        <v>2.5831301150000012</v>
      </c>
      <c r="DA32" s="14">
        <v>3.2088583500000007</v>
      </c>
      <c r="DB32" s="14">
        <v>2.0584383536585267</v>
      </c>
      <c r="DC32" s="14">
        <v>3.2127065194880409</v>
      </c>
      <c r="DD32" s="14">
        <v>2.2695786630866941</v>
      </c>
      <c r="DE32" s="14">
        <v>3.0307292111036168</v>
      </c>
      <c r="DF32" s="14">
        <v>3.6127587000000005</v>
      </c>
      <c r="DG32" s="14">
        <v>4.4572344300000015</v>
      </c>
    </row>
    <row r="33" spans="1:111" x14ac:dyDescent="0.3">
      <c r="A33" s="21" t="s">
        <v>23</v>
      </c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14">
        <v>0</v>
      </c>
      <c r="AE33" s="14">
        <v>0</v>
      </c>
      <c r="AF33" s="14">
        <v>0</v>
      </c>
      <c r="AG33" s="14">
        <v>0</v>
      </c>
      <c r="AH33" s="14">
        <v>0</v>
      </c>
      <c r="AI33" s="14">
        <v>0</v>
      </c>
      <c r="AJ33" s="14">
        <v>0</v>
      </c>
      <c r="AK33" s="14">
        <v>0</v>
      </c>
      <c r="AL33" s="14">
        <v>0</v>
      </c>
      <c r="AM33" s="14">
        <v>0</v>
      </c>
      <c r="AN33" s="14">
        <v>0</v>
      </c>
      <c r="AO33" s="14">
        <v>0</v>
      </c>
      <c r="AP33" s="14">
        <v>0</v>
      </c>
      <c r="AQ33" s="14">
        <v>0</v>
      </c>
      <c r="AR33" s="14">
        <v>0</v>
      </c>
      <c r="AS33" s="14">
        <v>0</v>
      </c>
      <c r="AT33" s="14">
        <v>0</v>
      </c>
      <c r="AU33" s="14">
        <v>0</v>
      </c>
      <c r="AV33" s="14">
        <v>0</v>
      </c>
      <c r="AW33" s="14">
        <v>0</v>
      </c>
      <c r="AX33" s="14">
        <v>0</v>
      </c>
      <c r="AY33" s="14">
        <v>0</v>
      </c>
      <c r="AZ33" s="14">
        <v>0</v>
      </c>
      <c r="BA33" s="14">
        <v>0</v>
      </c>
      <c r="BB33" s="14">
        <v>0</v>
      </c>
      <c r="BC33" s="14">
        <v>0</v>
      </c>
      <c r="BD33" s="14">
        <v>0</v>
      </c>
      <c r="BE33" s="14">
        <v>0</v>
      </c>
      <c r="BF33" s="14">
        <v>0</v>
      </c>
      <c r="BG33" s="14">
        <v>0</v>
      </c>
      <c r="BH33" s="14">
        <v>0</v>
      </c>
      <c r="BI33" s="14">
        <v>0</v>
      </c>
      <c r="BJ33" s="14">
        <v>0</v>
      </c>
      <c r="BK33" s="14">
        <v>0</v>
      </c>
      <c r="BL33" s="14">
        <v>0</v>
      </c>
      <c r="BM33" s="14">
        <v>0</v>
      </c>
      <c r="BN33" s="14">
        <v>0</v>
      </c>
      <c r="BO33" s="14">
        <v>21.722000000000001</v>
      </c>
      <c r="BP33" s="14">
        <v>16.773</v>
      </c>
      <c r="BQ33" s="14">
        <v>20.3</v>
      </c>
      <c r="BR33" s="14">
        <v>21.433</v>
      </c>
      <c r="BS33" s="14">
        <v>11.667</v>
      </c>
      <c r="BT33" s="14">
        <v>13.597000000000001</v>
      </c>
      <c r="BU33" s="14">
        <v>15.31</v>
      </c>
      <c r="BV33" s="14">
        <v>19.057000000000002</v>
      </c>
      <c r="BW33" s="14">
        <v>13.427999999999999</v>
      </c>
      <c r="BX33" s="14">
        <v>17.990000000000002</v>
      </c>
      <c r="BY33" s="14">
        <v>19.920999999999999</v>
      </c>
      <c r="BZ33" s="14">
        <v>23.866</v>
      </c>
      <c r="CA33" s="14">
        <v>19.201000000000001</v>
      </c>
      <c r="CB33" s="14">
        <v>27.883642980000005</v>
      </c>
      <c r="CC33" s="14">
        <v>28.048507229999998</v>
      </c>
      <c r="CD33" s="14">
        <v>36.462405239999988</v>
      </c>
      <c r="CE33" s="14">
        <v>36.093689499999996</v>
      </c>
      <c r="CF33" s="14">
        <v>25.965471900000001</v>
      </c>
      <c r="CG33" s="14">
        <v>29.933103459999998</v>
      </c>
      <c r="CH33" s="14">
        <v>45.405471989999995</v>
      </c>
      <c r="CI33" s="14">
        <v>46.536853909999998</v>
      </c>
      <c r="CJ33" s="14">
        <v>17.47001281</v>
      </c>
      <c r="CK33" s="14">
        <v>16.530138220000001</v>
      </c>
      <c r="CL33" s="14">
        <v>10.43382617</v>
      </c>
      <c r="CM33" s="14">
        <v>4.8984061799999994</v>
      </c>
      <c r="CN33" s="14">
        <v>2.0043513690000001</v>
      </c>
      <c r="CO33" s="14">
        <v>2.3031841010011274</v>
      </c>
      <c r="CP33" s="14">
        <v>2.7042059210000002</v>
      </c>
      <c r="CQ33" s="14">
        <v>1.2712437459999999</v>
      </c>
      <c r="CR33" s="14">
        <v>1.3445949959999999</v>
      </c>
      <c r="CS33" s="14">
        <v>17.821699161999998</v>
      </c>
      <c r="CT33" s="14">
        <v>0.8095263553854537</v>
      </c>
      <c r="CU33" s="14">
        <v>1.1073926329309438</v>
      </c>
      <c r="CV33" s="14">
        <v>0.78068027400000006</v>
      </c>
      <c r="CW33" s="14">
        <v>1.1058586840000002</v>
      </c>
      <c r="CX33" s="14">
        <v>1.9248865758879996</v>
      </c>
      <c r="CY33" s="14">
        <v>0.82267316700000004</v>
      </c>
      <c r="CZ33" s="14">
        <v>0.33748081900000004</v>
      </c>
      <c r="DA33" s="14">
        <v>1.2340277530000003</v>
      </c>
      <c r="DB33" s="14">
        <v>0.53397170217415924</v>
      </c>
      <c r="DC33" s="14">
        <v>0.808942940682428</v>
      </c>
      <c r="DD33" s="14">
        <v>1.5128038063911302</v>
      </c>
      <c r="DE33" s="14">
        <v>1.2770411947955098</v>
      </c>
      <c r="DF33" s="14">
        <v>0.36315838</v>
      </c>
      <c r="DG33" s="14">
        <v>0.40434543000000001</v>
      </c>
    </row>
    <row r="34" spans="1:111" x14ac:dyDescent="0.3">
      <c r="A34" s="21" t="s">
        <v>24</v>
      </c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14">
        <v>0</v>
      </c>
      <c r="AE34" s="14">
        <v>0</v>
      </c>
      <c r="AF34" s="14">
        <v>0</v>
      </c>
      <c r="AG34" s="14">
        <v>0</v>
      </c>
      <c r="AH34" s="14">
        <v>0</v>
      </c>
      <c r="AI34" s="14">
        <v>0</v>
      </c>
      <c r="AJ34" s="14">
        <v>0</v>
      </c>
      <c r="AK34" s="14">
        <v>0</v>
      </c>
      <c r="AL34" s="14">
        <v>0</v>
      </c>
      <c r="AM34" s="14">
        <v>0</v>
      </c>
      <c r="AN34" s="14">
        <v>0</v>
      </c>
      <c r="AO34" s="14">
        <v>0</v>
      </c>
      <c r="AP34" s="14">
        <v>0</v>
      </c>
      <c r="AQ34" s="14">
        <v>0</v>
      </c>
      <c r="AR34" s="14">
        <v>0</v>
      </c>
      <c r="AS34" s="14">
        <v>0</v>
      </c>
      <c r="AT34" s="14">
        <v>0</v>
      </c>
      <c r="AU34" s="14">
        <v>0</v>
      </c>
      <c r="AV34" s="14">
        <v>0</v>
      </c>
      <c r="AW34" s="14">
        <v>0</v>
      </c>
      <c r="AX34" s="14">
        <v>0</v>
      </c>
      <c r="AY34" s="14">
        <v>0</v>
      </c>
      <c r="AZ34" s="14">
        <v>0</v>
      </c>
      <c r="BA34" s="14">
        <v>0</v>
      </c>
      <c r="BB34" s="14">
        <v>0</v>
      </c>
      <c r="BC34" s="14">
        <v>0</v>
      </c>
      <c r="BD34" s="14">
        <v>0</v>
      </c>
      <c r="BE34" s="14">
        <v>0</v>
      </c>
      <c r="BF34" s="14">
        <v>0</v>
      </c>
      <c r="BG34" s="14">
        <v>0</v>
      </c>
      <c r="BH34" s="14">
        <v>0</v>
      </c>
      <c r="BI34" s="14">
        <v>0</v>
      </c>
      <c r="BJ34" s="14">
        <v>0</v>
      </c>
      <c r="BK34" s="14">
        <v>0</v>
      </c>
      <c r="BL34" s="14">
        <v>0</v>
      </c>
      <c r="BM34" s="14">
        <v>0</v>
      </c>
      <c r="BN34" s="14">
        <v>0</v>
      </c>
      <c r="BO34" s="14">
        <v>9.0090000000000003</v>
      </c>
      <c r="BP34" s="14">
        <v>11.599</v>
      </c>
      <c r="BQ34" s="14">
        <v>19.577999999999999</v>
      </c>
      <c r="BR34" s="14">
        <v>22.917999999999999</v>
      </c>
      <c r="BS34" s="14">
        <v>23.475000000000001</v>
      </c>
      <c r="BT34" s="14">
        <v>20.420999999999999</v>
      </c>
      <c r="BU34" s="14">
        <v>19.311</v>
      </c>
      <c r="BV34" s="14">
        <v>20.560000000000002</v>
      </c>
      <c r="BW34" s="14">
        <v>22.391999999999999</v>
      </c>
      <c r="BX34" s="14">
        <v>19.652000000000001</v>
      </c>
      <c r="BY34" s="14">
        <v>16.032</v>
      </c>
      <c r="BZ34" s="14">
        <v>16.312000000000001</v>
      </c>
      <c r="CA34" s="14">
        <v>19.381</v>
      </c>
      <c r="CB34" s="14">
        <v>20.197312350000061</v>
      </c>
      <c r="CC34" s="14">
        <v>21.385632709999946</v>
      </c>
      <c r="CD34" s="14">
        <v>26.689464019999882</v>
      </c>
      <c r="CE34" s="14">
        <v>25.880337250000281</v>
      </c>
      <c r="CF34" s="14">
        <v>23.572460869999951</v>
      </c>
      <c r="CG34" s="14">
        <v>27.453745920000152</v>
      </c>
      <c r="CH34" s="14">
        <v>29.96982831000005</v>
      </c>
      <c r="CI34" s="14">
        <v>26.011464259999968</v>
      </c>
      <c r="CJ34" s="14">
        <v>25.498895269999974</v>
      </c>
      <c r="CK34" s="14">
        <v>26.300102169999931</v>
      </c>
      <c r="CL34" s="14">
        <v>27.896124049999987</v>
      </c>
      <c r="CM34" s="14">
        <v>23.246307830000035</v>
      </c>
      <c r="CN34" s="14">
        <v>20.029756507000059</v>
      </c>
      <c r="CO34" s="14">
        <v>21.097175589411648</v>
      </c>
      <c r="CP34" s="14">
        <v>25.32961407129595</v>
      </c>
      <c r="CQ34" s="14">
        <v>22.94195266810474</v>
      </c>
      <c r="CR34" s="14">
        <v>21.498834487263437</v>
      </c>
      <c r="CS34" s="14">
        <v>22.435784525475931</v>
      </c>
      <c r="CT34" s="14">
        <v>18.206579351530571</v>
      </c>
      <c r="CU34" s="14">
        <v>17.989413248995241</v>
      </c>
      <c r="CV34" s="14">
        <v>14.834310260184221</v>
      </c>
      <c r="CW34" s="14">
        <v>17.445842234301814</v>
      </c>
      <c r="CX34" s="14">
        <v>14.912878774431803</v>
      </c>
      <c r="CY34" s="14">
        <v>13.651174864626057</v>
      </c>
      <c r="CZ34" s="14">
        <v>9.7937475070441184</v>
      </c>
      <c r="DA34" s="14">
        <v>11.804801196362495</v>
      </c>
      <c r="DB34" s="14">
        <v>10.292403704281671</v>
      </c>
      <c r="DC34" s="14">
        <v>9.7286448897414708</v>
      </c>
      <c r="DD34" s="14">
        <v>11.741167830376591</v>
      </c>
      <c r="DE34" s="14">
        <v>13.604173852012826</v>
      </c>
      <c r="DF34" s="14">
        <v>13.49591048999995</v>
      </c>
      <c r="DG34" s="14">
        <v>17.509754980000011</v>
      </c>
    </row>
    <row r="35" spans="1:111" x14ac:dyDescent="0.3">
      <c r="A35" s="20" t="s">
        <v>25</v>
      </c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14">
        <v>0.35100000000000003</v>
      </c>
      <c r="AE35" s="14">
        <v>0.63400000000000001</v>
      </c>
      <c r="AF35" s="14">
        <v>0.82600000000000007</v>
      </c>
      <c r="AG35" s="14">
        <v>0.46500000000000002</v>
      </c>
      <c r="AH35" s="14">
        <v>5.7000000000000002E-2</v>
      </c>
      <c r="AI35" s="14">
        <v>0.14011500000000002</v>
      </c>
      <c r="AJ35" s="14">
        <v>0.621</v>
      </c>
      <c r="AK35" s="14">
        <v>0.24600000000000002</v>
      </c>
      <c r="AL35" s="14">
        <v>8.1000000000000003E-2</v>
      </c>
      <c r="AM35" s="14">
        <v>0.23699999999999999</v>
      </c>
      <c r="AN35" s="14">
        <v>0.70599999999999996</v>
      </c>
      <c r="AO35" s="14">
        <v>0.504</v>
      </c>
      <c r="AP35" s="14">
        <v>0.184</v>
      </c>
      <c r="AQ35" s="14">
        <v>0.50800000000000001</v>
      </c>
      <c r="AR35" s="14">
        <v>1.0209999999999999</v>
      </c>
      <c r="AS35" s="14">
        <v>0.77800000000000002</v>
      </c>
      <c r="AT35" s="14">
        <v>0.54899999999999993</v>
      </c>
      <c r="AU35" s="14">
        <v>1.2870000000000001</v>
      </c>
      <c r="AV35" s="14">
        <v>3.7410000000000001</v>
      </c>
      <c r="AW35" s="14">
        <v>1.198</v>
      </c>
      <c r="AX35" s="14">
        <v>1.8720000000000001</v>
      </c>
      <c r="AY35" s="14">
        <v>0.67800000000000005</v>
      </c>
      <c r="AZ35" s="14">
        <v>3.6549999999999998</v>
      </c>
      <c r="BA35" s="14">
        <v>1.6349999999999998</v>
      </c>
      <c r="BB35" s="14">
        <v>1.6060000000000001</v>
      </c>
      <c r="BC35" s="14">
        <v>1.6800000000000002</v>
      </c>
      <c r="BD35" s="14">
        <v>2.9930000000000003</v>
      </c>
      <c r="BE35" s="14">
        <v>1.8998680000000001</v>
      </c>
      <c r="BF35" s="14">
        <v>1.3820000000000001</v>
      </c>
      <c r="BG35" s="14">
        <v>3.4779999999999998</v>
      </c>
      <c r="BH35" s="14">
        <v>3.8559999999999999</v>
      </c>
      <c r="BI35" s="14">
        <v>1.391</v>
      </c>
      <c r="BJ35" s="14">
        <v>0.96199999999999997</v>
      </c>
      <c r="BK35" s="14">
        <v>3.82</v>
      </c>
      <c r="BL35" s="14">
        <v>6.7100000000000009</v>
      </c>
      <c r="BM35" s="14">
        <v>3.899</v>
      </c>
      <c r="BN35" s="14">
        <v>1.5880000000000001</v>
      </c>
      <c r="BO35" s="14">
        <v>3.6859999999999999</v>
      </c>
      <c r="BP35" s="14">
        <v>8.1430000000000007</v>
      </c>
      <c r="BQ35" s="14">
        <v>6.766</v>
      </c>
      <c r="BR35" s="14">
        <v>2.66</v>
      </c>
      <c r="BS35" s="14">
        <v>4.3540000000000001</v>
      </c>
      <c r="BT35" s="14">
        <v>9.9480000000000004</v>
      </c>
      <c r="BU35" s="14">
        <v>4.7240000000000002</v>
      </c>
      <c r="BV35" s="14">
        <v>2.4539999999999997</v>
      </c>
      <c r="BW35" s="14">
        <v>10.148999999999999</v>
      </c>
      <c r="BX35" s="14">
        <v>11.562999999999999</v>
      </c>
      <c r="BY35" s="14">
        <v>11.253</v>
      </c>
      <c r="BZ35" s="14">
        <v>4.859</v>
      </c>
      <c r="CA35" s="14">
        <v>5.6950000000000003</v>
      </c>
      <c r="CB35" s="14">
        <v>18.028889129999992</v>
      </c>
      <c r="CC35" s="14">
        <v>9.6111285800000026</v>
      </c>
      <c r="CD35" s="14">
        <v>5.2365660600000004</v>
      </c>
      <c r="CE35" s="14">
        <v>11.2601096</v>
      </c>
      <c r="CF35" s="14">
        <v>12.46939682</v>
      </c>
      <c r="CG35" s="14">
        <v>8.0703827699999984</v>
      </c>
      <c r="CH35" s="14">
        <v>4.3407336900000004</v>
      </c>
      <c r="CI35" s="14">
        <v>13.695934769999987</v>
      </c>
      <c r="CJ35" s="14">
        <v>16.398886240000007</v>
      </c>
      <c r="CK35" s="14">
        <v>14.277799549999997</v>
      </c>
      <c r="CL35" s="14">
        <v>7.1210333000000015</v>
      </c>
      <c r="CM35" s="14">
        <v>17.035102500000001</v>
      </c>
      <c r="CN35" s="14">
        <v>23.302892902000014</v>
      </c>
      <c r="CO35" s="14">
        <v>12.771872165000008</v>
      </c>
      <c r="CP35" s="14">
        <v>8.3661174077434204</v>
      </c>
      <c r="CQ35" s="14">
        <v>14.988265248000005</v>
      </c>
      <c r="CR35" s="14">
        <v>17.891206022000006</v>
      </c>
      <c r="CS35" s="14">
        <v>13.678187139999999</v>
      </c>
      <c r="CT35" s="14">
        <v>13.644995358000008</v>
      </c>
      <c r="CU35" s="14">
        <v>10.454110607776705</v>
      </c>
      <c r="CV35" s="14">
        <v>29.653929298128642</v>
      </c>
      <c r="CW35" s="14">
        <v>16.833507126300887</v>
      </c>
      <c r="CX35" s="14">
        <v>7.4505508029999996</v>
      </c>
      <c r="CY35" s="14">
        <v>21.057779607000004</v>
      </c>
      <c r="CZ35" s="14">
        <v>18.699732971999985</v>
      </c>
      <c r="DA35" s="14">
        <v>11.696920051999999</v>
      </c>
      <c r="DB35" s="14">
        <v>10.483751864906633</v>
      </c>
      <c r="DC35" s="14">
        <v>13.33512678811498</v>
      </c>
      <c r="DD35" s="14">
        <v>21.476184865074096</v>
      </c>
      <c r="DE35" s="14">
        <v>13.609182941763887</v>
      </c>
      <c r="DF35" s="14">
        <v>9.6837819699999947</v>
      </c>
      <c r="DG35" s="14">
        <v>19.893119529999979</v>
      </c>
    </row>
    <row r="36" spans="1:111" x14ac:dyDescent="0.3">
      <c r="A36" s="19" t="s">
        <v>26</v>
      </c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14">
        <v>0</v>
      </c>
      <c r="AE36" s="14">
        <v>0</v>
      </c>
      <c r="AF36" s="14">
        <v>0</v>
      </c>
      <c r="AG36" s="14">
        <v>0</v>
      </c>
      <c r="AH36" s="14">
        <v>0</v>
      </c>
      <c r="AI36" s="14">
        <v>0</v>
      </c>
      <c r="AJ36" s="14">
        <v>0</v>
      </c>
      <c r="AK36" s="14">
        <v>0</v>
      </c>
      <c r="AL36" s="14">
        <v>0</v>
      </c>
      <c r="AM36" s="14">
        <v>0</v>
      </c>
      <c r="AN36" s="14">
        <v>0</v>
      </c>
      <c r="AO36" s="14">
        <v>0</v>
      </c>
      <c r="AP36" s="14">
        <v>0</v>
      </c>
      <c r="AQ36" s="14">
        <v>0</v>
      </c>
      <c r="AR36" s="14">
        <v>0</v>
      </c>
      <c r="AS36" s="14">
        <v>0</v>
      </c>
      <c r="AT36" s="14">
        <v>0</v>
      </c>
      <c r="AU36" s="14">
        <v>0</v>
      </c>
      <c r="AV36" s="14">
        <v>0</v>
      </c>
      <c r="AW36" s="14">
        <v>0</v>
      </c>
      <c r="AX36" s="14">
        <v>0</v>
      </c>
      <c r="AY36" s="14">
        <v>0</v>
      </c>
      <c r="AZ36" s="14">
        <v>0</v>
      </c>
      <c r="BA36" s="14">
        <v>0</v>
      </c>
      <c r="BB36" s="14">
        <v>0</v>
      </c>
      <c r="BC36" s="14">
        <v>0</v>
      </c>
      <c r="BD36" s="14">
        <v>0</v>
      </c>
      <c r="BE36" s="14">
        <v>0</v>
      </c>
      <c r="BF36" s="14">
        <v>0</v>
      </c>
      <c r="BG36" s="14">
        <v>0</v>
      </c>
      <c r="BH36" s="14">
        <v>0</v>
      </c>
      <c r="BI36" s="14">
        <v>0</v>
      </c>
      <c r="BJ36" s="14">
        <v>0</v>
      </c>
      <c r="BK36" s="14">
        <v>0</v>
      </c>
      <c r="BL36" s="14">
        <v>0</v>
      </c>
      <c r="BM36" s="14">
        <v>0</v>
      </c>
      <c r="BN36" s="14">
        <v>0</v>
      </c>
      <c r="BO36" s="14">
        <v>0.36799999999999999</v>
      </c>
      <c r="BP36" s="14">
        <v>0.23899999999999999</v>
      </c>
      <c r="BQ36" s="14">
        <v>1E-3</v>
      </c>
      <c r="BR36" s="14">
        <v>4.2000000000000003E-2</v>
      </c>
      <c r="BS36" s="14">
        <v>0</v>
      </c>
      <c r="BT36" s="14">
        <v>0.52700000000000002</v>
      </c>
      <c r="BU36" s="14">
        <v>1.1639999999999999</v>
      </c>
      <c r="BV36" s="14">
        <v>0</v>
      </c>
      <c r="BW36" s="14">
        <v>4.4999999999999998E-2</v>
      </c>
      <c r="BX36" s="14">
        <v>3.4539999999999997</v>
      </c>
      <c r="BY36" s="14">
        <v>2.9370000000000003</v>
      </c>
      <c r="BZ36" s="14">
        <v>0</v>
      </c>
      <c r="CA36" s="14">
        <v>1.5470000000000002</v>
      </c>
      <c r="CB36" s="14">
        <v>2.5736120500000004</v>
      </c>
      <c r="CC36" s="14">
        <v>0</v>
      </c>
      <c r="CD36" s="14">
        <v>0</v>
      </c>
      <c r="CE36" s="14">
        <v>1.3140000000000001E-2</v>
      </c>
      <c r="CF36" s="14">
        <v>0.20806374000000002</v>
      </c>
      <c r="CG36" s="14">
        <v>7.9742659999999993E-2</v>
      </c>
      <c r="CH36" s="14">
        <v>2.7831799999999997E-3</v>
      </c>
      <c r="CI36" s="14">
        <v>1.1730000000000001E-5</v>
      </c>
      <c r="CJ36" s="14">
        <v>1E-4</v>
      </c>
      <c r="CK36" s="14">
        <v>0.17528726</v>
      </c>
      <c r="CL36" s="14">
        <v>4.5901999999999998E-2</v>
      </c>
      <c r="CM36" s="14">
        <v>2.0375999999999999E-4</v>
      </c>
      <c r="CN36" s="14">
        <v>0</v>
      </c>
      <c r="CO36" s="14">
        <v>0</v>
      </c>
      <c r="CP36" s="14">
        <v>0</v>
      </c>
      <c r="CQ36" s="14">
        <v>0</v>
      </c>
      <c r="CR36" s="14">
        <v>0</v>
      </c>
      <c r="CS36" s="14">
        <v>0</v>
      </c>
      <c r="CT36" s="14">
        <v>0</v>
      </c>
      <c r="CU36" s="14">
        <v>0</v>
      </c>
      <c r="CV36" s="14">
        <v>1.9798E-4</v>
      </c>
      <c r="CW36" s="14">
        <v>0</v>
      </c>
      <c r="CX36" s="14">
        <v>0</v>
      </c>
      <c r="CY36" s="14">
        <v>0</v>
      </c>
      <c r="CZ36" s="14">
        <v>0</v>
      </c>
      <c r="DA36" s="14">
        <v>0</v>
      </c>
      <c r="DB36" s="14">
        <v>0</v>
      </c>
      <c r="DC36" s="14">
        <v>0</v>
      </c>
      <c r="DD36" s="14">
        <v>0</v>
      </c>
      <c r="DE36" s="14">
        <v>0</v>
      </c>
      <c r="DF36" s="14">
        <v>0</v>
      </c>
      <c r="DG36" s="14">
        <v>0</v>
      </c>
    </row>
    <row r="37" spans="1:111" x14ac:dyDescent="0.3">
      <c r="A37" s="19" t="s">
        <v>27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14">
        <v>0</v>
      </c>
      <c r="AE37" s="14">
        <v>0</v>
      </c>
      <c r="AF37" s="14">
        <v>0</v>
      </c>
      <c r="AG37" s="14">
        <v>0</v>
      </c>
      <c r="AH37" s="14">
        <v>0</v>
      </c>
      <c r="AI37" s="14">
        <v>0</v>
      </c>
      <c r="AJ37" s="14">
        <v>0</v>
      </c>
      <c r="AK37" s="14">
        <v>0</v>
      </c>
      <c r="AL37" s="14">
        <v>0</v>
      </c>
      <c r="AM37" s="14">
        <v>0</v>
      </c>
      <c r="AN37" s="14">
        <v>0</v>
      </c>
      <c r="AO37" s="14">
        <v>0</v>
      </c>
      <c r="AP37" s="14">
        <v>0</v>
      </c>
      <c r="AQ37" s="14">
        <v>0</v>
      </c>
      <c r="AR37" s="14">
        <v>0</v>
      </c>
      <c r="AS37" s="14">
        <v>0</v>
      </c>
      <c r="AT37" s="14">
        <v>0</v>
      </c>
      <c r="AU37" s="14">
        <v>0</v>
      </c>
      <c r="AV37" s="14">
        <v>0</v>
      </c>
      <c r="AW37" s="14">
        <v>0</v>
      </c>
      <c r="AX37" s="14">
        <v>0</v>
      </c>
      <c r="AY37" s="14">
        <v>0</v>
      </c>
      <c r="AZ37" s="14">
        <v>0</v>
      </c>
      <c r="BA37" s="14">
        <v>0</v>
      </c>
      <c r="BB37" s="14">
        <v>0</v>
      </c>
      <c r="BC37" s="14">
        <v>0</v>
      </c>
      <c r="BD37" s="14">
        <v>0</v>
      </c>
      <c r="BE37" s="14">
        <v>0</v>
      </c>
      <c r="BF37" s="14">
        <v>0</v>
      </c>
      <c r="BG37" s="14">
        <v>0</v>
      </c>
      <c r="BH37" s="14">
        <v>0</v>
      </c>
      <c r="BI37" s="14">
        <v>0</v>
      </c>
      <c r="BJ37" s="14">
        <v>0</v>
      </c>
      <c r="BK37" s="14">
        <v>0</v>
      </c>
      <c r="BL37" s="14">
        <v>0</v>
      </c>
      <c r="BM37" s="14">
        <v>0</v>
      </c>
      <c r="BN37" s="14">
        <v>0</v>
      </c>
      <c r="BO37" s="14">
        <v>0</v>
      </c>
      <c r="BP37" s="14">
        <v>0</v>
      </c>
      <c r="BQ37" s="14">
        <v>3.6459999999999999</v>
      </c>
      <c r="BR37" s="14">
        <v>4.87</v>
      </c>
      <c r="BS37" s="14">
        <v>2.4630000000000001</v>
      </c>
      <c r="BT37" s="14">
        <v>2.3259999999999996</v>
      </c>
      <c r="BU37" s="14">
        <v>1.8610000000000002</v>
      </c>
      <c r="BV37" s="14">
        <v>3.7190000000000003</v>
      </c>
      <c r="BW37" s="14">
        <v>4.8339999999999996</v>
      </c>
      <c r="BX37" s="14">
        <v>3.238</v>
      </c>
      <c r="BY37" s="14">
        <v>4.3150000000000004</v>
      </c>
      <c r="BZ37" s="14">
        <v>4.8680000000000003</v>
      </c>
      <c r="CA37" s="14">
        <v>5.9740000000000002</v>
      </c>
      <c r="CB37" s="14">
        <v>8.5690505500000018</v>
      </c>
      <c r="CC37" s="14">
        <v>12.218121850000006</v>
      </c>
      <c r="CD37" s="14">
        <v>13.12666194</v>
      </c>
      <c r="CE37" s="14">
        <v>12.432544700000003</v>
      </c>
      <c r="CF37" s="14">
        <v>15.294924180000002</v>
      </c>
      <c r="CG37" s="14">
        <v>14.976312529999996</v>
      </c>
      <c r="CH37" s="14">
        <v>15.62751636</v>
      </c>
      <c r="CI37" s="14">
        <v>15.464454739999997</v>
      </c>
      <c r="CJ37" s="14">
        <v>13.883480970000001</v>
      </c>
      <c r="CK37" s="14">
        <v>14.40528454</v>
      </c>
      <c r="CL37" s="14">
        <v>12.281997100000002</v>
      </c>
      <c r="CM37" s="14">
        <v>10.450966529999999</v>
      </c>
      <c r="CN37" s="14">
        <v>12.748684451000006</v>
      </c>
      <c r="CO37" s="14">
        <v>11.202539585419284</v>
      </c>
      <c r="CP37" s="14">
        <v>10.332775811049826</v>
      </c>
      <c r="CQ37" s="14">
        <v>9.5917343909042536</v>
      </c>
      <c r="CR37" s="14">
        <v>11.037405723695404</v>
      </c>
      <c r="CS37" s="14">
        <v>9.7532828543550902</v>
      </c>
      <c r="CT37" s="14">
        <v>8.7328526686981469</v>
      </c>
      <c r="CU37" s="14">
        <v>10.723010820711481</v>
      </c>
      <c r="CV37" s="14">
        <v>10.271736234</v>
      </c>
      <c r="CW37" s="14">
        <v>11.418920355403896</v>
      </c>
      <c r="CX37" s="14">
        <v>9.7313895039999991</v>
      </c>
      <c r="CY37" s="14">
        <v>12.674494567249095</v>
      </c>
      <c r="CZ37" s="14">
        <v>10.916360464477334</v>
      </c>
      <c r="DA37" s="14">
        <v>16.718988454077394</v>
      </c>
      <c r="DB37" s="14">
        <v>11.014735102423122</v>
      </c>
      <c r="DC37" s="14">
        <v>12.434981774139541</v>
      </c>
      <c r="DD37" s="14">
        <v>15.642961472778699</v>
      </c>
      <c r="DE37" s="14">
        <v>18.157807792600185</v>
      </c>
      <c r="DF37" s="14">
        <v>15.265363819999994</v>
      </c>
      <c r="DG37" s="14">
        <v>14.854306789999999</v>
      </c>
    </row>
    <row r="38" spans="1:111" x14ac:dyDescent="0.3">
      <c r="A38" s="21" t="s">
        <v>28</v>
      </c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14">
        <v>0</v>
      </c>
      <c r="AE38" s="14">
        <v>0</v>
      </c>
      <c r="AF38" s="14">
        <v>0</v>
      </c>
      <c r="AG38" s="14">
        <v>0</v>
      </c>
      <c r="AH38" s="14">
        <v>0</v>
      </c>
      <c r="AI38" s="14">
        <v>0</v>
      </c>
      <c r="AJ38" s="14">
        <v>0</v>
      </c>
      <c r="AK38" s="14">
        <v>0</v>
      </c>
      <c r="AL38" s="14">
        <v>0</v>
      </c>
      <c r="AM38" s="14">
        <v>0</v>
      </c>
      <c r="AN38" s="14">
        <v>0</v>
      </c>
      <c r="AO38" s="14">
        <v>0</v>
      </c>
      <c r="AP38" s="14">
        <v>0</v>
      </c>
      <c r="AQ38" s="14">
        <v>0</v>
      </c>
      <c r="AR38" s="14">
        <v>0</v>
      </c>
      <c r="AS38" s="14">
        <v>0</v>
      </c>
      <c r="AT38" s="14">
        <v>0</v>
      </c>
      <c r="AU38" s="14">
        <v>0</v>
      </c>
      <c r="AV38" s="14">
        <v>0</v>
      </c>
      <c r="AW38" s="14">
        <v>0</v>
      </c>
      <c r="AX38" s="14">
        <v>0</v>
      </c>
      <c r="AY38" s="14">
        <v>0</v>
      </c>
      <c r="AZ38" s="14">
        <v>0</v>
      </c>
      <c r="BA38" s="14">
        <v>0</v>
      </c>
      <c r="BB38" s="14">
        <v>0</v>
      </c>
      <c r="BC38" s="14">
        <v>0</v>
      </c>
      <c r="BD38" s="14">
        <v>0</v>
      </c>
      <c r="BE38" s="14">
        <v>0</v>
      </c>
      <c r="BF38" s="14">
        <v>0</v>
      </c>
      <c r="BG38" s="14">
        <v>0</v>
      </c>
      <c r="BH38" s="14">
        <v>0</v>
      </c>
      <c r="BI38" s="14">
        <v>0</v>
      </c>
      <c r="BJ38" s="14">
        <v>0</v>
      </c>
      <c r="BK38" s="14">
        <v>0</v>
      </c>
      <c r="BL38" s="14">
        <v>0</v>
      </c>
      <c r="BM38" s="14">
        <v>0</v>
      </c>
      <c r="BN38" s="14">
        <v>0</v>
      </c>
      <c r="BO38" s="14">
        <v>12.644000000000002</v>
      </c>
      <c r="BP38" s="14">
        <v>5.8179999999999996</v>
      </c>
      <c r="BQ38" s="14">
        <v>6.2340000000000009</v>
      </c>
      <c r="BR38" s="14">
        <v>9.0539999999999985</v>
      </c>
      <c r="BS38" s="14">
        <v>8.8780000000000001</v>
      </c>
      <c r="BT38" s="14">
        <v>7.5329999999999995</v>
      </c>
      <c r="BU38" s="14">
        <v>9.4030000000000005</v>
      </c>
      <c r="BV38" s="14">
        <v>9.61</v>
      </c>
      <c r="BW38" s="14">
        <v>8.3239999999999998</v>
      </c>
      <c r="BX38" s="14">
        <v>9.2580000000000009</v>
      </c>
      <c r="BY38" s="14">
        <v>9.6209999999999987</v>
      </c>
      <c r="BZ38" s="14">
        <v>8.3659999999999997</v>
      </c>
      <c r="CA38" s="14">
        <v>9.2799999999999994</v>
      </c>
      <c r="CB38" s="14">
        <v>13.201366080000007</v>
      </c>
      <c r="CC38" s="14">
        <v>13.583375830000003</v>
      </c>
      <c r="CD38" s="14">
        <v>13.902245999999998</v>
      </c>
      <c r="CE38" s="14">
        <v>13.777651389999999</v>
      </c>
      <c r="CF38" s="14">
        <v>15.869102299999984</v>
      </c>
      <c r="CG38" s="14">
        <v>11.837862249999993</v>
      </c>
      <c r="CH38" s="14">
        <v>11.952478609999998</v>
      </c>
      <c r="CI38" s="14">
        <v>9.2423973399999966</v>
      </c>
      <c r="CJ38" s="14">
        <v>15.446336079999982</v>
      </c>
      <c r="CK38" s="14">
        <v>11.30701913</v>
      </c>
      <c r="CL38" s="14">
        <v>9.9664488599999999</v>
      </c>
      <c r="CM38" s="14">
        <v>11.887390480000002</v>
      </c>
      <c r="CN38" s="14">
        <v>14.835864087879251</v>
      </c>
      <c r="CO38" s="14">
        <v>14.563305275000001</v>
      </c>
      <c r="CP38" s="14">
        <v>14.860666880150125</v>
      </c>
      <c r="CQ38" s="14">
        <v>14.278359926309125</v>
      </c>
      <c r="CR38" s="14">
        <v>10.426116655727395</v>
      </c>
      <c r="CS38" s="14">
        <v>10.058390925202071</v>
      </c>
      <c r="CT38" s="14">
        <v>9.2493555726889376</v>
      </c>
      <c r="CU38" s="14">
        <v>8.9480383907983274</v>
      </c>
      <c r="CV38" s="14">
        <v>6.7203271688891526</v>
      </c>
      <c r="CW38" s="14">
        <v>2.5499914388894926</v>
      </c>
      <c r="CX38" s="14">
        <v>4.3284518090000006</v>
      </c>
      <c r="CY38" s="14">
        <v>4.4366944495319798</v>
      </c>
      <c r="CZ38" s="14">
        <v>5.1627606639999994</v>
      </c>
      <c r="DA38" s="14">
        <v>5.7095996670000035</v>
      </c>
      <c r="DB38" s="14">
        <v>4.2590906172784262</v>
      </c>
      <c r="DC38" s="14">
        <v>3.7949291361733732</v>
      </c>
      <c r="DD38" s="14">
        <v>4.4592918318472083</v>
      </c>
      <c r="DE38" s="14">
        <v>3.5937110573812165</v>
      </c>
      <c r="DF38" s="14">
        <v>3.7231266699999992</v>
      </c>
      <c r="DG38" s="14">
        <v>3.4856443099999996</v>
      </c>
    </row>
    <row r="39" spans="1:111" x14ac:dyDescent="0.3">
      <c r="A39" s="2" t="s">
        <v>29</v>
      </c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14">
        <v>0.55399999999999994</v>
      </c>
      <c r="AE39" s="14">
        <v>0.56200000000000006</v>
      </c>
      <c r="AF39" s="14">
        <v>1.085</v>
      </c>
      <c r="AG39" s="14">
        <v>1.5130000000000001</v>
      </c>
      <c r="AH39" s="14">
        <v>0.496</v>
      </c>
      <c r="AI39" s="14">
        <v>0.56830200000000008</v>
      </c>
      <c r="AJ39" s="14">
        <v>0.64700000000000002</v>
      </c>
      <c r="AK39" s="14">
        <v>0.95599999999999996</v>
      </c>
      <c r="AL39" s="14">
        <v>0.748</v>
      </c>
      <c r="AM39" s="14">
        <v>0.14100000000000001</v>
      </c>
      <c r="AN39" s="14">
        <v>0.26100000000000001</v>
      </c>
      <c r="AO39" s="14">
        <v>0.91900000000000004</v>
      </c>
      <c r="AP39" s="14">
        <v>1.6679999999999999</v>
      </c>
      <c r="AQ39" s="14">
        <v>0.49399999999999999</v>
      </c>
      <c r="AR39" s="14">
        <v>1.145</v>
      </c>
      <c r="AS39" s="14">
        <v>1.4510000000000001</v>
      </c>
      <c r="AT39" s="14">
        <v>0.66599999999999993</v>
      </c>
      <c r="AU39" s="14">
        <v>0.73599999999999999</v>
      </c>
      <c r="AV39" s="14">
        <v>0.86499999999999999</v>
      </c>
      <c r="AW39" s="14">
        <v>1.0289999999999999</v>
      </c>
      <c r="AX39" s="14">
        <v>2.0630000000000002</v>
      </c>
      <c r="AY39" s="14">
        <v>0.93900000000000006</v>
      </c>
      <c r="AZ39" s="14">
        <v>1.0720000000000001</v>
      </c>
      <c r="BA39" s="14">
        <v>1.4039999999999999</v>
      </c>
      <c r="BB39" s="14">
        <v>3.0409999999999999</v>
      </c>
      <c r="BC39" s="14">
        <v>1.3259999999999998</v>
      </c>
      <c r="BD39" s="14">
        <v>1.244</v>
      </c>
      <c r="BE39" s="14">
        <v>1.071</v>
      </c>
      <c r="BF39" s="14">
        <v>1.7490000000000001</v>
      </c>
      <c r="BG39" s="14">
        <v>2.0310000000000001</v>
      </c>
      <c r="BH39" s="14">
        <v>1.097</v>
      </c>
      <c r="BI39" s="14">
        <v>1.4450000000000001</v>
      </c>
      <c r="BJ39" s="14">
        <v>1.401</v>
      </c>
      <c r="BK39" s="14">
        <v>1.2749999999999999</v>
      </c>
      <c r="BL39" s="14">
        <v>1.7330000000000001</v>
      </c>
      <c r="BM39" s="14">
        <v>4.5780000000000003</v>
      </c>
      <c r="BN39" s="14">
        <v>2.6819999999999999</v>
      </c>
      <c r="BO39" s="14">
        <v>3.4859999999999998</v>
      </c>
      <c r="BP39" s="14">
        <v>1.794</v>
      </c>
      <c r="BQ39" s="14">
        <v>3.6710000000000003</v>
      </c>
      <c r="BR39" s="14">
        <v>4.7519999999999998</v>
      </c>
      <c r="BS39" s="14">
        <v>4.1470000000000002</v>
      </c>
      <c r="BT39" s="14">
        <v>2.306</v>
      </c>
      <c r="BU39" s="14">
        <v>2.8940000000000001</v>
      </c>
      <c r="BV39" s="14">
        <v>2.7440000000000002</v>
      </c>
      <c r="BW39" s="14">
        <v>2.7169999999999996</v>
      </c>
      <c r="BX39" s="14">
        <v>2.375</v>
      </c>
      <c r="BY39" s="14">
        <v>1.6220000000000001</v>
      </c>
      <c r="BZ39" s="14">
        <v>5.0070000000000006</v>
      </c>
      <c r="CA39" s="14">
        <v>3.1189999999999998</v>
      </c>
      <c r="CB39" s="14">
        <v>2.2088684300000025</v>
      </c>
      <c r="CC39" s="14">
        <v>2.7642024499999982</v>
      </c>
      <c r="CD39" s="14">
        <v>2.8775214700000067</v>
      </c>
      <c r="CE39" s="14">
        <v>3.8646383099999992</v>
      </c>
      <c r="CF39" s="14">
        <v>3.0263535299999949</v>
      </c>
      <c r="CG39" s="14">
        <v>3.2131502199999962</v>
      </c>
      <c r="CH39" s="14">
        <v>2.8235192399999969</v>
      </c>
      <c r="CI39" s="14">
        <v>2.8275664900000015</v>
      </c>
      <c r="CJ39" s="14">
        <v>6.7015290299999961</v>
      </c>
      <c r="CK39" s="14">
        <v>3.6888296900000022</v>
      </c>
      <c r="CL39" s="14">
        <v>3.0328415099999981</v>
      </c>
      <c r="CM39" s="14">
        <v>3.1330520700000006</v>
      </c>
      <c r="CN39" s="14">
        <v>4.791097376999998</v>
      </c>
      <c r="CO39" s="14">
        <v>5.960902835356535</v>
      </c>
      <c r="CP39" s="14">
        <v>4.9707732777969866</v>
      </c>
      <c r="CQ39" s="14">
        <v>5.0473054452671544</v>
      </c>
      <c r="CR39" s="14">
        <v>7.8777897488837967</v>
      </c>
      <c r="CS39" s="14">
        <v>8.51147787066874</v>
      </c>
      <c r="CT39" s="14">
        <v>7.1106404163336361</v>
      </c>
      <c r="CU39" s="14">
        <v>8.5958884649365377</v>
      </c>
      <c r="CV39" s="14">
        <v>14.625753114101339</v>
      </c>
      <c r="CW39" s="14">
        <v>10.424307536798056</v>
      </c>
      <c r="CX39" s="14">
        <v>9.2730785746592534</v>
      </c>
      <c r="CY39" s="14">
        <v>8.8788929517232678</v>
      </c>
      <c r="CZ39" s="14">
        <v>7.577813616269288</v>
      </c>
      <c r="DA39" s="14">
        <v>8.8201277446495965</v>
      </c>
      <c r="DB39" s="14">
        <v>10.947414605440109</v>
      </c>
      <c r="DC39" s="14">
        <v>11.111067449333067</v>
      </c>
      <c r="DD39" s="14">
        <v>12.459454201330834</v>
      </c>
      <c r="DE39" s="14">
        <v>10.92720428088089</v>
      </c>
      <c r="DF39" s="14">
        <v>9.3846673299999743</v>
      </c>
      <c r="DG39" s="14">
        <v>7.8472476299999876</v>
      </c>
    </row>
    <row r="40" spans="1:111" x14ac:dyDescent="0.3">
      <c r="A40" s="20" t="s">
        <v>30</v>
      </c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14">
        <v>0</v>
      </c>
      <c r="AE40" s="14">
        <v>0</v>
      </c>
      <c r="AF40" s="14">
        <v>0</v>
      </c>
      <c r="AG40" s="14">
        <v>0</v>
      </c>
      <c r="AH40" s="14">
        <v>0</v>
      </c>
      <c r="AI40" s="14">
        <v>0</v>
      </c>
      <c r="AJ40" s="14">
        <v>0</v>
      </c>
      <c r="AK40" s="14">
        <v>0</v>
      </c>
      <c r="AL40" s="14">
        <v>0</v>
      </c>
      <c r="AM40" s="14">
        <v>0</v>
      </c>
      <c r="AN40" s="14">
        <v>0</v>
      </c>
      <c r="AO40" s="14">
        <v>0</v>
      </c>
      <c r="AP40" s="14">
        <v>0</v>
      </c>
      <c r="AQ40" s="14">
        <v>0</v>
      </c>
      <c r="AR40" s="14">
        <v>7.4999999999999997E-2</v>
      </c>
      <c r="AS40" s="14">
        <v>0</v>
      </c>
      <c r="AT40" s="14">
        <v>0</v>
      </c>
      <c r="AU40" s="14">
        <v>0</v>
      </c>
      <c r="AV40" s="14">
        <v>7.0000000000000001E-3</v>
      </c>
      <c r="AW40" s="14">
        <v>0</v>
      </c>
      <c r="AX40" s="14">
        <v>0</v>
      </c>
      <c r="AY40" s="14">
        <v>0</v>
      </c>
      <c r="AZ40" s="14">
        <v>0</v>
      </c>
      <c r="BA40" s="14">
        <v>0</v>
      </c>
      <c r="BB40" s="14">
        <v>0</v>
      </c>
      <c r="BC40" s="14">
        <v>0</v>
      </c>
      <c r="BD40" s="14">
        <v>0</v>
      </c>
      <c r="BE40" s="14">
        <v>1.4E-2</v>
      </c>
      <c r="BF40" s="14">
        <v>0</v>
      </c>
      <c r="BG40" s="14">
        <v>0</v>
      </c>
      <c r="BH40" s="14">
        <v>0</v>
      </c>
      <c r="BI40" s="14">
        <v>0</v>
      </c>
      <c r="BJ40" s="14">
        <v>4.0000000000000001E-3</v>
      </c>
      <c r="BK40" s="14">
        <v>4.0000000000000001E-3</v>
      </c>
      <c r="BL40" s="14">
        <v>1.2999999999999999E-2</v>
      </c>
      <c r="BM40" s="14">
        <v>2.3E-2</v>
      </c>
      <c r="BN40" s="14">
        <v>9.9000000000000005E-2</v>
      </c>
      <c r="BO40" s="14">
        <v>1.4999999999999999E-2</v>
      </c>
      <c r="BP40" s="14">
        <v>5.0000000000000001E-3</v>
      </c>
      <c r="BQ40" s="14">
        <v>0</v>
      </c>
      <c r="BR40" s="14">
        <v>4.0000000000000001E-3</v>
      </c>
      <c r="BS40" s="14">
        <v>7.0000000000000001E-3</v>
      </c>
      <c r="BT40" s="14">
        <v>0</v>
      </c>
      <c r="BU40" s="14">
        <v>3.6999999999999998E-2</v>
      </c>
      <c r="BV40" s="14">
        <v>3.1E-2</v>
      </c>
      <c r="BW40" s="14">
        <v>0</v>
      </c>
      <c r="BX40" s="14">
        <v>0</v>
      </c>
      <c r="BY40" s="14">
        <v>0</v>
      </c>
      <c r="BZ40" s="14">
        <v>6.4000000000000001E-2</v>
      </c>
      <c r="CA40" s="14">
        <v>1E-3</v>
      </c>
      <c r="CB40" s="14">
        <v>3.9347920000000002E-2</v>
      </c>
      <c r="CC40" s="14">
        <v>1.4020050000000001E-2</v>
      </c>
      <c r="CD40" s="14">
        <v>3.1925059999999998E-2</v>
      </c>
      <c r="CE40" s="14">
        <v>0.10966016000000001</v>
      </c>
      <c r="CF40" s="14">
        <v>0.60028797999999994</v>
      </c>
      <c r="CG40" s="14">
        <v>0.13076641999999999</v>
      </c>
      <c r="CH40" s="14">
        <v>1.4782E-3</v>
      </c>
      <c r="CI40" s="14">
        <v>0</v>
      </c>
      <c r="CJ40" s="14">
        <v>5.736E-5</v>
      </c>
      <c r="CK40" s="14">
        <v>2.2217E-4</v>
      </c>
      <c r="CL40" s="14">
        <v>4.9458999999999994E-4</v>
      </c>
      <c r="CM40" s="14">
        <v>1.1759E-4</v>
      </c>
      <c r="CN40" s="14">
        <v>0.68752262399999997</v>
      </c>
      <c r="CO40" s="14">
        <v>4.7692733682081621E-2</v>
      </c>
      <c r="CP40" s="14">
        <v>9.7454859613620312E-2</v>
      </c>
      <c r="CQ40" s="14">
        <v>1.5034738750483761E-2</v>
      </c>
      <c r="CR40" s="14">
        <v>0.26755823869735212</v>
      </c>
      <c r="CS40" s="14">
        <v>2.2259652124378011</v>
      </c>
      <c r="CT40" s="14">
        <v>3.846139733523295</v>
      </c>
      <c r="CU40" s="14">
        <v>1.4395320468990502</v>
      </c>
      <c r="CV40" s="14">
        <v>0.47716271051844233</v>
      </c>
      <c r="CW40" s="14">
        <v>0.22385192313406233</v>
      </c>
      <c r="CX40" s="14">
        <v>0.64413767558479995</v>
      </c>
      <c r="CY40" s="14">
        <v>0.12881649405293824</v>
      </c>
      <c r="CZ40" s="14">
        <v>0.19563360317853218</v>
      </c>
      <c r="DA40" s="14">
        <v>5.2746180216850784E-2</v>
      </c>
      <c r="DB40" s="14">
        <v>0.6161744065232494</v>
      </c>
      <c r="DC40" s="14">
        <v>1.1183370435183599</v>
      </c>
      <c r="DD40" s="14">
        <v>1.4862438061735883</v>
      </c>
      <c r="DE40" s="14">
        <v>0.6676526209581457</v>
      </c>
      <c r="DF40" s="14">
        <v>1.0751023999999989</v>
      </c>
      <c r="DG40" s="14">
        <v>0.62664019999999976</v>
      </c>
    </row>
    <row r="41" spans="1:111" x14ac:dyDescent="0.3">
      <c r="A41" s="20" t="s">
        <v>31</v>
      </c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14">
        <v>6.3E-2</v>
      </c>
      <c r="AE41" s="14">
        <v>1.4999999999999999E-2</v>
      </c>
      <c r="AF41" s="14">
        <v>0</v>
      </c>
      <c r="AG41" s="14">
        <v>0</v>
      </c>
      <c r="AH41" s="14">
        <v>0</v>
      </c>
      <c r="AI41" s="14">
        <v>2.5000000000000001E-2</v>
      </c>
      <c r="AJ41" s="14">
        <v>1.4E-2</v>
      </c>
      <c r="AK41" s="14">
        <v>9.1999999999999998E-2</v>
      </c>
      <c r="AL41" s="14">
        <v>0</v>
      </c>
      <c r="AM41" s="14">
        <v>1E-3</v>
      </c>
      <c r="AN41" s="14">
        <v>5.1000000000000004E-2</v>
      </c>
      <c r="AO41" s="14">
        <v>9.0000000000000011E-3</v>
      </c>
      <c r="AP41" s="14">
        <v>4.1000000000000002E-2</v>
      </c>
      <c r="AQ41" s="14">
        <v>0</v>
      </c>
      <c r="AR41" s="14">
        <v>0.03</v>
      </c>
      <c r="AS41" s="14">
        <v>0</v>
      </c>
      <c r="AT41" s="14">
        <v>1.4E-2</v>
      </c>
      <c r="AU41" s="14">
        <v>0.03</v>
      </c>
      <c r="AV41" s="14">
        <v>1.4999999999999999E-2</v>
      </c>
      <c r="AW41" s="14">
        <v>7.0000000000000001E-3</v>
      </c>
      <c r="AX41" s="14">
        <v>5.2000000000000005E-2</v>
      </c>
      <c r="AY41" s="14">
        <v>9.0000000000000011E-3</v>
      </c>
      <c r="AZ41" s="14">
        <v>6.0999999999999999E-2</v>
      </c>
      <c r="BA41" s="14">
        <v>1.4E-2</v>
      </c>
      <c r="BB41" s="14">
        <v>2.9000000000000001E-2</v>
      </c>
      <c r="BC41" s="14">
        <v>1.2E-2</v>
      </c>
      <c r="BD41" s="14">
        <v>2.1000000000000001E-2</v>
      </c>
      <c r="BE41" s="14">
        <v>1.7999999999999999E-2</v>
      </c>
      <c r="BF41" s="14">
        <v>6.7000000000000004E-2</v>
      </c>
      <c r="BG41" s="14">
        <v>3.1E-2</v>
      </c>
      <c r="BH41" s="14">
        <v>0.11199999999999999</v>
      </c>
      <c r="BI41" s="14">
        <v>9.9000000000000005E-2</v>
      </c>
      <c r="BJ41" s="14">
        <v>0.26100000000000001</v>
      </c>
      <c r="BK41" s="14">
        <v>0.13900000000000001</v>
      </c>
      <c r="BL41" s="14">
        <v>0.08</v>
      </c>
      <c r="BM41" s="14">
        <v>7.3000000000000009E-2</v>
      </c>
      <c r="BN41" s="14">
        <v>0.92300000000000004</v>
      </c>
      <c r="BO41" s="14">
        <v>0.254</v>
      </c>
      <c r="BP41" s="14">
        <v>0.11299999999999999</v>
      </c>
      <c r="BQ41" s="14">
        <v>1.8750000000000002</v>
      </c>
      <c r="BR41" s="14">
        <v>2.456</v>
      </c>
      <c r="BS41" s="14">
        <v>1.2790000000000001</v>
      </c>
      <c r="BT41" s="14">
        <v>1.581</v>
      </c>
      <c r="BU41" s="14">
        <v>0.39</v>
      </c>
      <c r="BV41" s="14">
        <v>0.59299999999999997</v>
      </c>
      <c r="BW41" s="14">
        <v>0.32</v>
      </c>
      <c r="BX41" s="14">
        <v>0.48899999999999999</v>
      </c>
      <c r="BY41" s="14">
        <v>0.70399999999999996</v>
      </c>
      <c r="BZ41" s="14">
        <v>0.22800000000000004</v>
      </c>
      <c r="CA41" s="14">
        <v>0.26800000000000002</v>
      </c>
      <c r="CB41" s="14">
        <v>0.31808384000000001</v>
      </c>
      <c r="CC41" s="14">
        <v>6.760179999999999E-2</v>
      </c>
      <c r="CD41" s="14">
        <v>0.75986300999999989</v>
      </c>
      <c r="CE41" s="14">
        <v>8.1840020000000013E-2</v>
      </c>
      <c r="CF41" s="14">
        <v>2.5041555299999994</v>
      </c>
      <c r="CG41" s="14">
        <v>1.3167913099999999</v>
      </c>
      <c r="CH41" s="14">
        <v>1.6256090000000001E-2</v>
      </c>
      <c r="CI41" s="14">
        <v>0</v>
      </c>
      <c r="CJ41" s="14">
        <v>12.357902119999995</v>
      </c>
      <c r="CK41" s="14">
        <v>7.6892987800000077</v>
      </c>
      <c r="CL41" s="14">
        <v>2.2353794199999966</v>
      </c>
      <c r="CM41" s="14">
        <v>3.1398150300000021</v>
      </c>
      <c r="CN41" s="14">
        <v>10.657393442000034</v>
      </c>
      <c r="CO41" s="14">
        <v>14.386261235980117</v>
      </c>
      <c r="CP41" s="14">
        <v>5.5546526436652162</v>
      </c>
      <c r="CQ41" s="14">
        <v>6.7859717244148481</v>
      </c>
      <c r="CR41" s="14">
        <v>22.265405370640387</v>
      </c>
      <c r="CS41" s="14">
        <v>8.7172637013029135</v>
      </c>
      <c r="CT41" s="14">
        <v>7.0723290541267687</v>
      </c>
      <c r="CU41" s="14">
        <v>2.898288758004667</v>
      </c>
      <c r="CV41" s="14">
        <v>15.905130485848655</v>
      </c>
      <c r="CW41" s="14">
        <v>23.354570799835127</v>
      </c>
      <c r="CX41" s="14">
        <v>5.8332487008620539</v>
      </c>
      <c r="CY41" s="14">
        <v>17.595119232616128</v>
      </c>
      <c r="CZ41" s="14">
        <v>28.684727766844311</v>
      </c>
      <c r="DA41" s="14">
        <v>7.8516075193166577</v>
      </c>
      <c r="DB41" s="14">
        <v>6.4523778869398809</v>
      </c>
      <c r="DC41" s="14">
        <v>12.753699746925506</v>
      </c>
      <c r="DD41" s="14">
        <v>28.899664528249723</v>
      </c>
      <c r="DE41" s="14">
        <v>16.042383757476163</v>
      </c>
      <c r="DF41" s="14">
        <v>8.3525118799999873</v>
      </c>
      <c r="DG41" s="14">
        <v>23.01483971999992</v>
      </c>
    </row>
    <row r="42" spans="1:111" x14ac:dyDescent="0.3">
      <c r="A42" s="20" t="s">
        <v>32</v>
      </c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14">
        <v>0</v>
      </c>
      <c r="AE42" s="14">
        <v>0</v>
      </c>
      <c r="AF42" s="14">
        <v>0</v>
      </c>
      <c r="AG42" s="14">
        <v>0</v>
      </c>
      <c r="AH42" s="14">
        <v>0</v>
      </c>
      <c r="AI42" s="14">
        <v>0</v>
      </c>
      <c r="AJ42" s="14">
        <v>0</v>
      </c>
      <c r="AK42" s="14">
        <v>0</v>
      </c>
      <c r="AL42" s="14">
        <v>0</v>
      </c>
      <c r="AM42" s="14">
        <v>0</v>
      </c>
      <c r="AN42" s="14">
        <v>0</v>
      </c>
      <c r="AO42" s="14">
        <v>0</v>
      </c>
      <c r="AP42" s="14">
        <v>0</v>
      </c>
      <c r="AQ42" s="14">
        <v>0</v>
      </c>
      <c r="AR42" s="14">
        <v>0</v>
      </c>
      <c r="AS42" s="14">
        <v>0</v>
      </c>
      <c r="AT42" s="14">
        <v>0</v>
      </c>
      <c r="AU42" s="14">
        <v>0</v>
      </c>
      <c r="AV42" s="14">
        <v>0</v>
      </c>
      <c r="AW42" s="14">
        <v>0</v>
      </c>
      <c r="AX42" s="14">
        <v>0</v>
      </c>
      <c r="AY42" s="14">
        <v>0</v>
      </c>
      <c r="AZ42" s="14">
        <v>0</v>
      </c>
      <c r="BA42" s="14">
        <v>0</v>
      </c>
      <c r="BB42" s="14">
        <v>0.434</v>
      </c>
      <c r="BC42" s="14">
        <v>0</v>
      </c>
      <c r="BD42" s="14">
        <v>0</v>
      </c>
      <c r="BE42" s="14">
        <v>0</v>
      </c>
      <c r="BF42" s="14">
        <v>0</v>
      </c>
      <c r="BG42" s="14">
        <v>0</v>
      </c>
      <c r="BH42" s="14">
        <v>0</v>
      </c>
      <c r="BI42" s="14">
        <v>0</v>
      </c>
      <c r="BJ42" s="14">
        <v>0</v>
      </c>
      <c r="BK42" s="14">
        <v>0</v>
      </c>
      <c r="BL42" s="14">
        <v>0</v>
      </c>
      <c r="BM42" s="14">
        <v>0</v>
      </c>
      <c r="BN42" s="14">
        <v>0</v>
      </c>
      <c r="BO42" s="14">
        <v>0</v>
      </c>
      <c r="BP42" s="14">
        <v>0</v>
      </c>
      <c r="BQ42" s="14">
        <v>0</v>
      </c>
      <c r="BR42" s="14">
        <v>0</v>
      </c>
      <c r="BS42" s="14">
        <v>0</v>
      </c>
      <c r="BT42" s="14">
        <v>0</v>
      </c>
      <c r="BU42" s="14">
        <v>0</v>
      </c>
      <c r="BV42" s="14">
        <v>0</v>
      </c>
      <c r="BW42" s="14">
        <v>0</v>
      </c>
      <c r="BX42" s="14">
        <v>0</v>
      </c>
      <c r="BY42" s="14">
        <v>0</v>
      </c>
      <c r="BZ42" s="14">
        <v>0</v>
      </c>
      <c r="CA42" s="14">
        <v>0</v>
      </c>
      <c r="CB42" s="14">
        <v>0</v>
      </c>
      <c r="CC42" s="14">
        <v>0</v>
      </c>
      <c r="CD42" s="14">
        <v>0</v>
      </c>
      <c r="CE42" s="14">
        <v>0</v>
      </c>
      <c r="CF42" s="14">
        <v>0</v>
      </c>
      <c r="CG42" s="14">
        <v>0</v>
      </c>
      <c r="CH42" s="14">
        <v>0</v>
      </c>
      <c r="CI42" s="14">
        <v>0</v>
      </c>
      <c r="CJ42" s="14">
        <v>0</v>
      </c>
      <c r="CK42" s="14">
        <v>0</v>
      </c>
      <c r="CL42" s="14">
        <v>0</v>
      </c>
      <c r="CM42" s="14">
        <v>0</v>
      </c>
      <c r="CN42" s="14">
        <v>0</v>
      </c>
      <c r="CO42" s="14">
        <v>0</v>
      </c>
      <c r="CP42" s="14">
        <v>0</v>
      </c>
      <c r="CQ42" s="14">
        <v>0</v>
      </c>
      <c r="CR42" s="14">
        <v>0</v>
      </c>
      <c r="CS42" s="14">
        <v>0</v>
      </c>
      <c r="CT42" s="14">
        <v>0</v>
      </c>
      <c r="CU42" s="14">
        <v>0</v>
      </c>
      <c r="CV42" s="14">
        <v>0</v>
      </c>
      <c r="CW42" s="14">
        <v>0</v>
      </c>
      <c r="CX42" s="14">
        <v>0</v>
      </c>
      <c r="CY42" s="14">
        <v>0</v>
      </c>
      <c r="CZ42" s="14">
        <v>0</v>
      </c>
      <c r="DA42" s="14">
        <v>0</v>
      </c>
      <c r="DB42" s="14">
        <v>0</v>
      </c>
      <c r="DC42" s="14">
        <v>0</v>
      </c>
      <c r="DD42" s="14">
        <v>0</v>
      </c>
      <c r="DE42" s="14">
        <v>0</v>
      </c>
      <c r="DF42" s="14">
        <v>0</v>
      </c>
      <c r="DG42" s="14">
        <v>0</v>
      </c>
    </row>
    <row r="43" spans="1:111" x14ac:dyDescent="0.3">
      <c r="A43" s="2" t="s">
        <v>33</v>
      </c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14">
        <v>0.379</v>
      </c>
      <c r="AE43" s="14">
        <v>6.8000000000000005E-2</v>
      </c>
      <c r="AF43" s="14">
        <v>0.15600000000000003</v>
      </c>
      <c r="AG43" s="14">
        <v>0.16899999999999998</v>
      </c>
      <c r="AH43" s="14">
        <v>0.34099999999999997</v>
      </c>
      <c r="AI43" s="14">
        <v>0.13050900000000001</v>
      </c>
      <c r="AJ43" s="14">
        <v>0.42200000000000004</v>
      </c>
      <c r="AK43" s="14">
        <v>0.55300000000000005</v>
      </c>
      <c r="AL43" s="14">
        <v>0.65300000000000002</v>
      </c>
      <c r="AM43" s="14">
        <v>0.44900000000000001</v>
      </c>
      <c r="AN43" s="14">
        <v>0.38300000000000001</v>
      </c>
      <c r="AO43" s="14">
        <v>0.56900000000000006</v>
      </c>
      <c r="AP43" s="14">
        <v>0.40900000000000003</v>
      </c>
      <c r="AQ43" s="14">
        <v>0.21100000000000002</v>
      </c>
      <c r="AR43" s="14">
        <v>0.27900000000000003</v>
      </c>
      <c r="AS43" s="14">
        <v>0.37</v>
      </c>
      <c r="AT43" s="14">
        <v>0.33400000000000002</v>
      </c>
      <c r="AU43" s="14">
        <v>0.245</v>
      </c>
      <c r="AV43" s="14">
        <v>0.21499999999999997</v>
      </c>
      <c r="AW43" s="14">
        <v>0.40399999999999997</v>
      </c>
      <c r="AX43" s="14">
        <v>0.44600000000000001</v>
      </c>
      <c r="AY43" s="14">
        <v>0.36199999999999999</v>
      </c>
      <c r="AZ43" s="14">
        <v>0.42700000000000005</v>
      </c>
      <c r="BA43" s="14">
        <v>0.49299999999999999</v>
      </c>
      <c r="BB43" s="14">
        <v>2.573</v>
      </c>
      <c r="BC43" s="14">
        <v>0.82800000000000007</v>
      </c>
      <c r="BD43" s="14">
        <v>0.71300000000000008</v>
      </c>
      <c r="BE43" s="14">
        <v>1.2689999999999999</v>
      </c>
      <c r="BF43" s="14">
        <v>1.077</v>
      </c>
      <c r="BG43" s="14">
        <v>0.81800000000000006</v>
      </c>
      <c r="BH43" s="14">
        <v>0.26700000000000002</v>
      </c>
      <c r="BI43" s="14">
        <v>0.68100000000000005</v>
      </c>
      <c r="BJ43" s="14">
        <v>1.8109999999999999</v>
      </c>
      <c r="BK43" s="14">
        <v>2.1990000000000003</v>
      </c>
      <c r="BL43" s="14">
        <v>3.0310000000000001</v>
      </c>
      <c r="BM43" s="14">
        <v>2.6459999999999999</v>
      </c>
      <c r="BN43" s="14">
        <v>1.853</v>
      </c>
      <c r="BO43" s="14">
        <v>1.855</v>
      </c>
      <c r="BP43" s="14">
        <v>1.9910000000000001</v>
      </c>
      <c r="BQ43" s="14">
        <v>2.5709999999999997</v>
      </c>
      <c r="BR43" s="14">
        <v>2.2679999999999998</v>
      </c>
      <c r="BS43" s="14">
        <v>2.6750000000000003</v>
      </c>
      <c r="BT43" s="14">
        <v>2.9640000000000004</v>
      </c>
      <c r="BU43" s="14">
        <v>1.8719999999999999</v>
      </c>
      <c r="BV43" s="14">
        <v>3.0670000000000002</v>
      </c>
      <c r="BW43" s="14">
        <v>3.774</v>
      </c>
      <c r="BX43" s="14">
        <v>3.1230000000000002</v>
      </c>
      <c r="BY43" s="14">
        <v>2.319</v>
      </c>
      <c r="BZ43" s="14">
        <v>2.6209999999999996</v>
      </c>
      <c r="CA43" s="14">
        <v>2.9740000000000002</v>
      </c>
      <c r="CB43" s="14">
        <v>3.15459522</v>
      </c>
      <c r="CC43" s="14">
        <v>5.1235682800000006</v>
      </c>
      <c r="CD43" s="14">
        <v>6.0713191899999996</v>
      </c>
      <c r="CE43" s="14">
        <v>6.379561609999997</v>
      </c>
      <c r="CF43" s="14">
        <v>7.0206666199999992</v>
      </c>
      <c r="CG43" s="14">
        <v>6.8227708400000022</v>
      </c>
      <c r="CH43" s="14">
        <v>7.395602699999996</v>
      </c>
      <c r="CI43" s="14">
        <v>7.1768111899999987</v>
      </c>
      <c r="CJ43" s="14">
        <v>8.7783338099999924</v>
      </c>
      <c r="CK43" s="14">
        <v>8.2941618500000036</v>
      </c>
      <c r="CL43" s="14">
        <v>9.0547802399999995</v>
      </c>
      <c r="CM43" s="14">
        <v>8.4502468999999873</v>
      </c>
      <c r="CN43" s="14">
        <v>9.1097023050000026</v>
      </c>
      <c r="CO43" s="14">
        <v>9.144940824137052</v>
      </c>
      <c r="CP43" s="14">
        <v>5.929089751367548</v>
      </c>
      <c r="CQ43" s="14">
        <v>12.996252616445066</v>
      </c>
      <c r="CR43" s="14">
        <v>8.9340709795361875</v>
      </c>
      <c r="CS43" s="14">
        <v>9.2309579836079987</v>
      </c>
      <c r="CT43" s="14">
        <v>9.2280479290858963</v>
      </c>
      <c r="CU43" s="14">
        <v>7.0757907402238258</v>
      </c>
      <c r="CV43" s="14">
        <v>6.071057270405686</v>
      </c>
      <c r="CW43" s="14">
        <v>6.1237609168179947</v>
      </c>
      <c r="CX43" s="14">
        <v>5.5737717639631015</v>
      </c>
      <c r="CY43" s="14">
        <v>6.4208144764874984</v>
      </c>
      <c r="CZ43" s="14">
        <v>5.5089552548371223</v>
      </c>
      <c r="DA43" s="14">
        <v>7.0603464079111244</v>
      </c>
      <c r="DB43" s="14">
        <v>6.5986469244375581</v>
      </c>
      <c r="DC43" s="14">
        <v>5.6938140957441998</v>
      </c>
      <c r="DD43" s="14">
        <v>7.1204038134697312</v>
      </c>
      <c r="DE43" s="14">
        <v>7.8094456156221099</v>
      </c>
      <c r="DF43" s="14">
        <v>9.0470230400000169</v>
      </c>
      <c r="DG43" s="14">
        <v>8.3577942199999846</v>
      </c>
    </row>
    <row r="44" spans="1:111" x14ac:dyDescent="0.3">
      <c r="A44" s="21" t="s">
        <v>34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14">
        <v>0</v>
      </c>
      <c r="AE44" s="14">
        <v>0</v>
      </c>
      <c r="AF44" s="14">
        <v>0</v>
      </c>
      <c r="AG44" s="14">
        <v>0</v>
      </c>
      <c r="AH44" s="14">
        <v>0</v>
      </c>
      <c r="AI44" s="14">
        <v>0</v>
      </c>
      <c r="AJ44" s="14">
        <v>0</v>
      </c>
      <c r="AK44" s="14">
        <v>0</v>
      </c>
      <c r="AL44" s="14">
        <v>0</v>
      </c>
      <c r="AM44" s="14">
        <v>0</v>
      </c>
      <c r="AN44" s="14">
        <v>0</v>
      </c>
      <c r="AO44" s="14">
        <v>0</v>
      </c>
      <c r="AP44" s="14">
        <v>0</v>
      </c>
      <c r="AQ44" s="14">
        <v>0</v>
      </c>
      <c r="AR44" s="14">
        <v>0</v>
      </c>
      <c r="AS44" s="14">
        <v>0</v>
      </c>
      <c r="AT44" s="14">
        <v>0</v>
      </c>
      <c r="AU44" s="14">
        <v>0</v>
      </c>
      <c r="AV44" s="14">
        <v>0</v>
      </c>
      <c r="AW44" s="14">
        <v>0</v>
      </c>
      <c r="AX44" s="14">
        <v>0</v>
      </c>
      <c r="AY44" s="14">
        <v>0</v>
      </c>
      <c r="AZ44" s="14">
        <v>0</v>
      </c>
      <c r="BA44" s="14">
        <v>0</v>
      </c>
      <c r="BB44" s="14">
        <v>0</v>
      </c>
      <c r="BC44" s="14">
        <v>0</v>
      </c>
      <c r="BD44" s="14">
        <v>0</v>
      </c>
      <c r="BE44" s="14">
        <v>0</v>
      </c>
      <c r="BF44" s="14">
        <v>0</v>
      </c>
      <c r="BG44" s="14">
        <v>0</v>
      </c>
      <c r="BH44" s="14">
        <v>0</v>
      </c>
      <c r="BI44" s="14">
        <v>0</v>
      </c>
      <c r="BJ44" s="14">
        <v>0</v>
      </c>
      <c r="BK44" s="14">
        <v>0</v>
      </c>
      <c r="BL44" s="14">
        <v>0</v>
      </c>
      <c r="BM44" s="14">
        <v>0</v>
      </c>
      <c r="BN44" s="14">
        <v>0</v>
      </c>
      <c r="BO44" s="14">
        <v>2.3719999999999999</v>
      </c>
      <c r="BP44" s="14">
        <v>2.1579999999999999</v>
      </c>
      <c r="BQ44" s="14">
        <v>1.355</v>
      </c>
      <c r="BR44" s="14">
        <v>2.3170000000000002</v>
      </c>
      <c r="BS44" s="14">
        <v>4.5990000000000002</v>
      </c>
      <c r="BT44" s="14">
        <v>3.1419999999999999</v>
      </c>
      <c r="BU44" s="14">
        <v>4.1890000000000001</v>
      </c>
      <c r="BV44" s="14">
        <v>3.7779999999999996</v>
      </c>
      <c r="BW44" s="14">
        <v>5.6280000000000001</v>
      </c>
      <c r="BX44" s="14">
        <v>3.4250000000000007</v>
      </c>
      <c r="BY44" s="14">
        <v>4.7969999999999997</v>
      </c>
      <c r="BZ44" s="14">
        <v>2.9050000000000002</v>
      </c>
      <c r="CA44" s="14">
        <v>3.6680000000000001</v>
      </c>
      <c r="CB44" s="14">
        <v>3.1597771899999998</v>
      </c>
      <c r="CC44" s="14">
        <v>3.8892732699999981</v>
      </c>
      <c r="CD44" s="14">
        <v>4.9089549199999993</v>
      </c>
      <c r="CE44" s="14">
        <v>6.36598284</v>
      </c>
      <c r="CF44" s="14">
        <v>6.9710342799999969</v>
      </c>
      <c r="CG44" s="14">
        <v>10.435445169999991</v>
      </c>
      <c r="CH44" s="14">
        <v>10.454109909999996</v>
      </c>
      <c r="CI44" s="14">
        <v>11.135880779999995</v>
      </c>
      <c r="CJ44" s="14">
        <v>7.3414832899999993</v>
      </c>
      <c r="CK44" s="14">
        <v>11.592995200000008</v>
      </c>
      <c r="CL44" s="14">
        <v>8.6972886200000019</v>
      </c>
      <c r="CM44" s="14">
        <v>9.316798799999999</v>
      </c>
      <c r="CN44" s="14">
        <v>5.9539549190000001</v>
      </c>
      <c r="CO44" s="14">
        <v>5.692687670693882</v>
      </c>
      <c r="CP44" s="14">
        <v>8.1240747642208877</v>
      </c>
      <c r="CQ44" s="14">
        <v>8.957452154675833</v>
      </c>
      <c r="CR44" s="14">
        <v>6.1981069767505428</v>
      </c>
      <c r="CS44" s="14">
        <v>5.12223398538708</v>
      </c>
      <c r="CT44" s="14">
        <v>6.1849933215466031</v>
      </c>
      <c r="CU44" s="14">
        <v>6.944718873833887</v>
      </c>
      <c r="CV44" s="14">
        <v>4.9161109945536383</v>
      </c>
      <c r="CW44" s="14">
        <v>5.9547392044443903</v>
      </c>
      <c r="CX44" s="14">
        <v>4.9888284449598919</v>
      </c>
      <c r="CY44" s="14">
        <v>4.5011805773574505</v>
      </c>
      <c r="CZ44" s="14">
        <v>5.7062181724395096</v>
      </c>
      <c r="DA44" s="14">
        <v>7.6933928800673019</v>
      </c>
      <c r="DB44" s="14">
        <v>7.1674212507751944</v>
      </c>
      <c r="DC44" s="14">
        <v>6.4728155801579836</v>
      </c>
      <c r="DD44" s="14">
        <v>6.5765561690908125</v>
      </c>
      <c r="DE44" s="14">
        <v>8.8620162515123742</v>
      </c>
      <c r="DF44" s="14">
        <v>6.9224709099999977</v>
      </c>
      <c r="DG44" s="14">
        <v>4.5712822599999994</v>
      </c>
    </row>
    <row r="45" spans="1:111" x14ac:dyDescent="0.3">
      <c r="A45" s="2" t="s">
        <v>35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14">
        <v>0.57599999999999996</v>
      </c>
      <c r="AE45" s="14">
        <v>0.35599999999999998</v>
      </c>
      <c r="AF45" s="14">
        <v>0.39900000000000002</v>
      </c>
      <c r="AG45" s="14">
        <v>0.38300000000000001</v>
      </c>
      <c r="AH45" s="14">
        <v>0.60899999999999999</v>
      </c>
      <c r="AI45" s="14">
        <v>0.65105400000000002</v>
      </c>
      <c r="AJ45" s="14">
        <v>0.41</v>
      </c>
      <c r="AK45" s="14">
        <v>0.41900000000000004</v>
      </c>
      <c r="AL45" s="14">
        <v>0.46799999999999997</v>
      </c>
      <c r="AM45" s="14">
        <v>0.27700000000000002</v>
      </c>
      <c r="AN45" s="14">
        <v>0.56299999999999994</v>
      </c>
      <c r="AO45" s="14">
        <v>0.71899999999999997</v>
      </c>
      <c r="AP45" s="14">
        <v>0.56700000000000006</v>
      </c>
      <c r="AQ45" s="14">
        <v>0.70799999999999996</v>
      </c>
      <c r="AR45" s="14">
        <v>0.88100000000000001</v>
      </c>
      <c r="AS45" s="14">
        <v>0.59499999999999997</v>
      </c>
      <c r="AT45" s="14">
        <v>0.79300000000000004</v>
      </c>
      <c r="AU45" s="14">
        <v>0.90899999999999992</v>
      </c>
      <c r="AV45" s="14">
        <v>1.4329999999999998</v>
      </c>
      <c r="AW45" s="14">
        <v>1.113</v>
      </c>
      <c r="AX45" s="14">
        <v>1.81</v>
      </c>
      <c r="AY45" s="14">
        <v>1.2030000000000001</v>
      </c>
      <c r="AZ45" s="14">
        <v>1.972</v>
      </c>
      <c r="BA45" s="14">
        <v>1.714</v>
      </c>
      <c r="BB45" s="14">
        <v>2.0470000000000002</v>
      </c>
      <c r="BC45" s="14">
        <v>1.8170000000000002</v>
      </c>
      <c r="BD45" s="14">
        <v>2.024</v>
      </c>
      <c r="BE45" s="14">
        <v>1.8350000000000002</v>
      </c>
      <c r="BF45" s="14">
        <v>1.742</v>
      </c>
      <c r="BG45" s="14">
        <v>1.4889999999999999</v>
      </c>
      <c r="BH45" s="14">
        <v>0.98699999999999999</v>
      </c>
      <c r="BI45" s="14">
        <v>0.495</v>
      </c>
      <c r="BJ45" s="14">
        <v>1.5579999999999998</v>
      </c>
      <c r="BK45" s="14">
        <v>2.5049999999999999</v>
      </c>
      <c r="BL45" s="14">
        <v>3.5779999999999998</v>
      </c>
      <c r="BM45" s="14">
        <v>3.4970000000000003</v>
      </c>
      <c r="BN45" s="14">
        <v>3.2699999999999996</v>
      </c>
      <c r="BO45" s="14">
        <v>3.9779999999999998</v>
      </c>
      <c r="BP45" s="14">
        <v>4.3140000000000001</v>
      </c>
      <c r="BQ45" s="14">
        <v>4.7349999999999994</v>
      </c>
      <c r="BR45" s="14">
        <v>4.4710000000000001</v>
      </c>
      <c r="BS45" s="14">
        <v>3.4609999999999999</v>
      </c>
      <c r="BT45" s="14">
        <v>2.6579999999999999</v>
      </c>
      <c r="BU45" s="14">
        <v>2.1</v>
      </c>
      <c r="BV45" s="14">
        <v>3.0049999999999999</v>
      </c>
      <c r="BW45" s="14">
        <v>4.5640000000000001</v>
      </c>
      <c r="BX45" s="14">
        <v>3.996</v>
      </c>
      <c r="BY45" s="14">
        <v>4.5609999999999999</v>
      </c>
      <c r="BZ45" s="14">
        <v>4.6790000000000003</v>
      </c>
      <c r="CA45" s="14">
        <v>5.3719999999999999</v>
      </c>
      <c r="CB45" s="14">
        <v>5.6773000799999984</v>
      </c>
      <c r="CC45" s="14">
        <v>6.304730789999998</v>
      </c>
      <c r="CD45" s="14">
        <v>7.8352241300000021</v>
      </c>
      <c r="CE45" s="14">
        <v>6.4542078800000029</v>
      </c>
      <c r="CF45" s="14">
        <v>9.6722051399999991</v>
      </c>
      <c r="CG45" s="14">
        <v>8.8672526299999959</v>
      </c>
      <c r="CH45" s="14">
        <v>7.5240559400000029</v>
      </c>
      <c r="CI45" s="14">
        <v>7.191346590000002</v>
      </c>
      <c r="CJ45" s="14">
        <v>9.2136234500000018</v>
      </c>
      <c r="CK45" s="14">
        <v>8.0631098800000025</v>
      </c>
      <c r="CL45" s="14">
        <v>8.0143452700000015</v>
      </c>
      <c r="CM45" s="14">
        <v>7.3198074900000005</v>
      </c>
      <c r="CN45" s="14">
        <v>9.6824785889999951</v>
      </c>
      <c r="CO45" s="14">
        <v>7.8229730786653446</v>
      </c>
      <c r="CP45" s="14">
        <v>7.8453594362480104</v>
      </c>
      <c r="CQ45" s="14">
        <v>6.7205236162256767</v>
      </c>
      <c r="CR45" s="14">
        <v>7.3888643927705351</v>
      </c>
      <c r="CS45" s="14">
        <v>8.3247350902069215</v>
      </c>
      <c r="CT45" s="14">
        <v>5.5531444714321285</v>
      </c>
      <c r="CU45" s="14">
        <v>5.3812942210496661</v>
      </c>
      <c r="CV45" s="14">
        <v>5.7658091820667767</v>
      </c>
      <c r="CW45" s="14">
        <v>8.0301436495056038</v>
      </c>
      <c r="CX45" s="14">
        <v>5.6904393398129081</v>
      </c>
      <c r="CY45" s="14">
        <v>5.6647344701176099</v>
      </c>
      <c r="CZ45" s="14">
        <v>6.2653485704408407</v>
      </c>
      <c r="DA45" s="14">
        <v>5.913335123739861</v>
      </c>
      <c r="DB45" s="14">
        <v>6.0944035558129599</v>
      </c>
      <c r="DC45" s="14">
        <v>6.5900978137937472</v>
      </c>
      <c r="DD45" s="14">
        <v>6.8625291385693643</v>
      </c>
      <c r="DE45" s="14">
        <v>7.5636275581584469</v>
      </c>
      <c r="DF45" s="14">
        <v>6.1609264300000035</v>
      </c>
      <c r="DG45" s="14">
        <v>7.2400695200000005</v>
      </c>
    </row>
    <row r="46" spans="1:111" x14ac:dyDescent="0.3">
      <c r="A46" s="21" t="s">
        <v>36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14">
        <v>0</v>
      </c>
      <c r="AE46" s="14">
        <v>0</v>
      </c>
      <c r="AF46" s="14">
        <v>0</v>
      </c>
      <c r="AG46" s="14">
        <v>0</v>
      </c>
      <c r="AH46" s="14">
        <v>0</v>
      </c>
      <c r="AI46" s="14">
        <v>0</v>
      </c>
      <c r="AJ46" s="14">
        <v>0</v>
      </c>
      <c r="AK46" s="14">
        <v>0</v>
      </c>
      <c r="AL46" s="14">
        <v>0</v>
      </c>
      <c r="AM46" s="14">
        <v>0</v>
      </c>
      <c r="AN46" s="14">
        <v>0</v>
      </c>
      <c r="AO46" s="14">
        <v>0</v>
      </c>
      <c r="AP46" s="14">
        <v>0</v>
      </c>
      <c r="AQ46" s="14">
        <v>0</v>
      </c>
      <c r="AR46" s="14">
        <v>0</v>
      </c>
      <c r="AS46" s="14">
        <v>0</v>
      </c>
      <c r="AT46" s="14">
        <v>0</v>
      </c>
      <c r="AU46" s="14">
        <v>0</v>
      </c>
      <c r="AV46" s="14">
        <v>0</v>
      </c>
      <c r="AW46" s="14">
        <v>0</v>
      </c>
      <c r="AX46" s="14">
        <v>0</v>
      </c>
      <c r="AY46" s="14">
        <v>0</v>
      </c>
      <c r="AZ46" s="14">
        <v>0</v>
      </c>
      <c r="BA46" s="14">
        <v>0</v>
      </c>
      <c r="BB46" s="14">
        <v>0</v>
      </c>
      <c r="BC46" s="14">
        <v>0</v>
      </c>
      <c r="BD46" s="14">
        <v>0</v>
      </c>
      <c r="BE46" s="14">
        <v>0</v>
      </c>
      <c r="BF46" s="14">
        <v>0</v>
      </c>
      <c r="BG46" s="14">
        <v>0</v>
      </c>
      <c r="BH46" s="14">
        <v>0</v>
      </c>
      <c r="BI46" s="14">
        <v>0</v>
      </c>
      <c r="BJ46" s="14">
        <v>0</v>
      </c>
      <c r="BK46" s="14">
        <v>0</v>
      </c>
      <c r="BL46" s="14">
        <v>0</v>
      </c>
      <c r="BM46" s="14">
        <v>0</v>
      </c>
      <c r="BN46" s="14">
        <v>0</v>
      </c>
      <c r="BO46" s="14">
        <v>8.86</v>
      </c>
      <c r="BP46" s="14">
        <v>10.723000000000001</v>
      </c>
      <c r="BQ46" s="14">
        <v>9.657</v>
      </c>
      <c r="BR46" s="14">
        <v>9.1850000000000005</v>
      </c>
      <c r="BS46" s="14">
        <v>9.2469999999999999</v>
      </c>
      <c r="BT46" s="14">
        <v>11.491</v>
      </c>
      <c r="BU46" s="14">
        <v>10.058</v>
      </c>
      <c r="BV46" s="14">
        <v>10.376000000000001</v>
      </c>
      <c r="BW46" s="14">
        <v>11.885</v>
      </c>
      <c r="BX46" s="14">
        <v>15.966000000000001</v>
      </c>
      <c r="BY46" s="14">
        <v>17.910999999999998</v>
      </c>
      <c r="BZ46" s="14">
        <v>13.289</v>
      </c>
      <c r="CA46" s="14">
        <v>11.698</v>
      </c>
      <c r="CB46" s="14">
        <v>19.239294949999987</v>
      </c>
      <c r="CC46" s="14">
        <v>24.655983120000002</v>
      </c>
      <c r="CD46" s="14">
        <v>13.103792769999998</v>
      </c>
      <c r="CE46" s="14">
        <v>24.074777210000001</v>
      </c>
      <c r="CF46" s="14">
        <v>21.86940452</v>
      </c>
      <c r="CG46" s="14">
        <v>46.217906120000009</v>
      </c>
      <c r="CH46" s="14">
        <v>33.112497639999994</v>
      </c>
      <c r="CI46" s="14">
        <v>21.286664830000003</v>
      </c>
      <c r="CJ46" s="14">
        <v>24.829835849999995</v>
      </c>
      <c r="CK46" s="14">
        <v>22.167450830000011</v>
      </c>
      <c r="CL46" s="14">
        <v>18.130213839999993</v>
      </c>
      <c r="CM46" s="14">
        <v>19.486291979999997</v>
      </c>
      <c r="CN46" s="14">
        <v>16.757696779</v>
      </c>
      <c r="CO46" s="14">
        <v>15.974128941313793</v>
      </c>
      <c r="CP46" s="14">
        <v>20.823120495316786</v>
      </c>
      <c r="CQ46" s="14">
        <v>15.782749097102164</v>
      </c>
      <c r="CR46" s="14">
        <v>17.532725012681897</v>
      </c>
      <c r="CS46" s="14">
        <v>21.678835746851306</v>
      </c>
      <c r="CT46" s="14">
        <v>15.343183993879844</v>
      </c>
      <c r="CU46" s="14">
        <v>11.875338211644841</v>
      </c>
      <c r="CV46" s="14">
        <v>9.7838872040577147</v>
      </c>
      <c r="CW46" s="14">
        <v>24.459748714405254</v>
      </c>
      <c r="CX46" s="14">
        <v>25.342407404638866</v>
      </c>
      <c r="CY46" s="14">
        <v>40.915291819262457</v>
      </c>
      <c r="CZ46" s="14">
        <v>23.345281936603662</v>
      </c>
      <c r="DA46" s="14">
        <v>37.079040726529406</v>
      </c>
      <c r="DB46" s="14">
        <v>16.902813911294881</v>
      </c>
      <c r="DC46" s="14">
        <v>14.394277154076001</v>
      </c>
      <c r="DD46" s="14">
        <v>18.435361209653621</v>
      </c>
      <c r="DE46" s="14">
        <v>35.098124719642037</v>
      </c>
      <c r="DF46" s="14">
        <v>39.792358519999937</v>
      </c>
      <c r="DG46" s="14">
        <v>14.836822430000012</v>
      </c>
    </row>
    <row r="47" spans="1:111" x14ac:dyDescent="0.3">
      <c r="A47" s="21" t="s">
        <v>37</v>
      </c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14">
        <v>0</v>
      </c>
      <c r="AE47" s="14">
        <v>0</v>
      </c>
      <c r="AF47" s="14">
        <v>0</v>
      </c>
      <c r="AG47" s="14">
        <v>0</v>
      </c>
      <c r="AH47" s="14">
        <v>0</v>
      </c>
      <c r="AI47" s="14">
        <v>0</v>
      </c>
      <c r="AJ47" s="14">
        <v>0</v>
      </c>
      <c r="AK47" s="14">
        <v>0</v>
      </c>
      <c r="AL47" s="14">
        <v>0</v>
      </c>
      <c r="AM47" s="14">
        <v>0</v>
      </c>
      <c r="AN47" s="14">
        <v>0</v>
      </c>
      <c r="AO47" s="14">
        <v>0</v>
      </c>
      <c r="AP47" s="14">
        <v>0</v>
      </c>
      <c r="AQ47" s="14">
        <v>0</v>
      </c>
      <c r="AR47" s="14">
        <v>0</v>
      </c>
      <c r="AS47" s="14">
        <v>0</v>
      </c>
      <c r="AT47" s="14">
        <v>0</v>
      </c>
      <c r="AU47" s="14">
        <v>0</v>
      </c>
      <c r="AV47" s="14">
        <v>0</v>
      </c>
      <c r="AW47" s="14">
        <v>0</v>
      </c>
      <c r="AX47" s="14">
        <v>0</v>
      </c>
      <c r="AY47" s="14">
        <v>0</v>
      </c>
      <c r="AZ47" s="14">
        <v>0</v>
      </c>
      <c r="BA47" s="14">
        <v>0</v>
      </c>
      <c r="BB47" s="14">
        <v>0</v>
      </c>
      <c r="BC47" s="14">
        <v>0</v>
      </c>
      <c r="BD47" s="14">
        <v>0</v>
      </c>
      <c r="BE47" s="14">
        <v>0</v>
      </c>
      <c r="BF47" s="14">
        <v>0</v>
      </c>
      <c r="BG47" s="14">
        <v>0</v>
      </c>
      <c r="BH47" s="14">
        <v>0</v>
      </c>
      <c r="BI47" s="14">
        <v>0</v>
      </c>
      <c r="BJ47" s="14">
        <v>0</v>
      </c>
      <c r="BK47" s="14">
        <v>0</v>
      </c>
      <c r="BL47" s="14">
        <v>0</v>
      </c>
      <c r="BM47" s="14">
        <v>0</v>
      </c>
      <c r="BN47" s="14">
        <v>0</v>
      </c>
      <c r="BO47" s="14">
        <v>0.38300000000000001</v>
      </c>
      <c r="BP47" s="14">
        <v>0</v>
      </c>
      <c r="BQ47" s="14">
        <v>0</v>
      </c>
      <c r="BR47" s="14">
        <v>0.08</v>
      </c>
      <c r="BS47" s="14">
        <v>8.1000000000000003E-2</v>
      </c>
      <c r="BT47" s="14">
        <v>3.3000000000000002E-2</v>
      </c>
      <c r="BU47" s="14">
        <v>0</v>
      </c>
      <c r="BV47" s="14">
        <v>0.14299999999999999</v>
      </c>
      <c r="BW47" s="14">
        <v>0</v>
      </c>
      <c r="BX47" s="14">
        <v>0</v>
      </c>
      <c r="BY47" s="14">
        <v>0</v>
      </c>
      <c r="BZ47" s="14">
        <v>0</v>
      </c>
      <c r="CA47" s="14">
        <v>0</v>
      </c>
      <c r="CB47" s="14">
        <v>0</v>
      </c>
      <c r="CC47" s="14">
        <v>0</v>
      </c>
      <c r="CD47" s="14">
        <v>0</v>
      </c>
      <c r="CE47" s="14">
        <v>0</v>
      </c>
      <c r="CF47" s="14">
        <v>0</v>
      </c>
      <c r="CG47" s="14">
        <v>0</v>
      </c>
      <c r="CH47" s="14">
        <v>0</v>
      </c>
      <c r="CI47" s="14">
        <v>0</v>
      </c>
      <c r="CJ47" s="14">
        <v>0</v>
      </c>
      <c r="CK47" s="14">
        <v>0</v>
      </c>
      <c r="CL47" s="14">
        <v>0</v>
      </c>
      <c r="CM47" s="14">
        <v>0</v>
      </c>
      <c r="CN47" s="14">
        <v>0</v>
      </c>
      <c r="CO47" s="14">
        <v>0</v>
      </c>
      <c r="CP47" s="14">
        <v>0</v>
      </c>
      <c r="CQ47" s="14">
        <v>0</v>
      </c>
      <c r="CR47" s="14">
        <v>0</v>
      </c>
      <c r="CS47" s="14">
        <v>0</v>
      </c>
      <c r="CT47" s="14">
        <v>0</v>
      </c>
      <c r="CU47" s="14">
        <v>0</v>
      </c>
      <c r="CV47" s="14">
        <v>0</v>
      </c>
      <c r="CW47" s="14">
        <v>0</v>
      </c>
      <c r="CX47" s="14">
        <v>0</v>
      </c>
      <c r="CY47" s="14">
        <v>0</v>
      </c>
      <c r="CZ47" s="14">
        <v>0</v>
      </c>
      <c r="DA47" s="14">
        <v>0</v>
      </c>
      <c r="DB47" s="14">
        <v>0</v>
      </c>
      <c r="DC47" s="14">
        <v>0</v>
      </c>
      <c r="DD47" s="14">
        <v>0</v>
      </c>
      <c r="DE47" s="14">
        <v>0</v>
      </c>
      <c r="DF47" s="14">
        <v>0</v>
      </c>
      <c r="DG47" s="14">
        <v>0</v>
      </c>
    </row>
    <row r="48" spans="1:111" x14ac:dyDescent="0.3">
      <c r="A48" s="20" t="s">
        <v>38</v>
      </c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14">
        <v>0</v>
      </c>
      <c r="AE48" s="14">
        <v>0.68600000000000005</v>
      </c>
      <c r="AF48" s="14">
        <v>6.0000000000000001E-3</v>
      </c>
      <c r="AG48" s="14">
        <v>0</v>
      </c>
      <c r="AH48" s="14">
        <v>0.01</v>
      </c>
      <c r="AI48" s="14">
        <v>5.4997999999999998E-2</v>
      </c>
      <c r="AJ48" s="14">
        <v>0</v>
      </c>
      <c r="AK48" s="14">
        <v>0</v>
      </c>
      <c r="AL48" s="14">
        <v>0.22500000000000001</v>
      </c>
      <c r="AM48" s="14">
        <v>1.4950000000000001</v>
      </c>
      <c r="AN48" s="14">
        <v>0.156</v>
      </c>
      <c r="AO48" s="14">
        <v>1.9119999999999999</v>
      </c>
      <c r="AP48" s="14">
        <v>1.5539999999999998</v>
      </c>
      <c r="AQ48" s="14">
        <v>1.5309999999999999</v>
      </c>
      <c r="AR48" s="14">
        <v>0.69</v>
      </c>
      <c r="AS48" s="14">
        <v>1.08</v>
      </c>
      <c r="AT48" s="14">
        <v>4.1739999999999995</v>
      </c>
      <c r="AU48" s="14">
        <v>1.861</v>
      </c>
      <c r="AV48" s="14">
        <v>0.52</v>
      </c>
      <c r="AW48" s="14">
        <v>1.482</v>
      </c>
      <c r="AX48" s="14">
        <v>8.7100000000000009</v>
      </c>
      <c r="AY48" s="14">
        <v>0.81100000000000005</v>
      </c>
      <c r="AZ48" s="14">
        <v>2.7269999999999999</v>
      </c>
      <c r="BA48" s="14">
        <v>0.42700000000000005</v>
      </c>
      <c r="BB48" s="14">
        <v>1.484</v>
      </c>
      <c r="BC48" s="14">
        <v>1.224</v>
      </c>
      <c r="BD48" s="14">
        <v>1.0900000000000001</v>
      </c>
      <c r="BE48" s="14">
        <v>1.264996</v>
      </c>
      <c r="BF48" s="14">
        <v>1.147</v>
      </c>
      <c r="BG48" s="14">
        <v>2.6239999999999997</v>
      </c>
      <c r="BH48" s="14">
        <v>1.873</v>
      </c>
      <c r="BI48" s="14">
        <v>0.52400000000000002</v>
      </c>
      <c r="BJ48" s="14">
        <v>1.2310000000000001</v>
      </c>
      <c r="BK48" s="14">
        <v>1.194</v>
      </c>
      <c r="BL48" s="14">
        <v>1.052</v>
      </c>
      <c r="BM48" s="14">
        <v>1.8920000000000001</v>
      </c>
      <c r="BN48" s="14">
        <v>1.411</v>
      </c>
      <c r="BO48" s="14">
        <v>1.9059999999999999</v>
      </c>
      <c r="BP48" s="14">
        <v>0.71200000000000008</v>
      </c>
      <c r="BQ48" s="14">
        <v>1.4410000000000001</v>
      </c>
      <c r="BR48" s="14">
        <v>0.24199999999999999</v>
      </c>
      <c r="BS48" s="14">
        <v>0.68899999999999995</v>
      </c>
      <c r="BT48" s="14">
        <v>1.8559999999999999</v>
      </c>
      <c r="BU48" s="14">
        <v>0.74099999999999999</v>
      </c>
      <c r="BV48" s="14">
        <v>1.024</v>
      </c>
      <c r="BW48" s="14">
        <v>1.2789999999999999</v>
      </c>
      <c r="BX48" s="14">
        <v>0.752</v>
      </c>
      <c r="BY48" s="14">
        <v>1.292</v>
      </c>
      <c r="BZ48" s="14">
        <v>1.0030000000000001</v>
      </c>
      <c r="CA48" s="14">
        <v>1.3029999999999999</v>
      </c>
      <c r="CB48" s="14">
        <v>0.83421469000000004</v>
      </c>
      <c r="CC48" s="14">
        <v>0.36292128999999995</v>
      </c>
      <c r="CD48" s="14">
        <v>0.63263469000000006</v>
      </c>
      <c r="CE48" s="14">
        <v>1.1616274799999999</v>
      </c>
      <c r="CF48" s="14">
        <v>0.54797857000000005</v>
      </c>
      <c r="CG48" s="14">
        <v>1.3086548</v>
      </c>
      <c r="CH48" s="14">
        <v>0</v>
      </c>
      <c r="CI48" s="14">
        <v>0</v>
      </c>
      <c r="CJ48" s="14">
        <v>0</v>
      </c>
      <c r="CK48" s="14">
        <v>0.10020999999999999</v>
      </c>
      <c r="CL48" s="14">
        <v>3.2356240000000001E-2</v>
      </c>
      <c r="CM48" s="14">
        <v>0</v>
      </c>
      <c r="CN48" s="14">
        <v>0.88841318599999997</v>
      </c>
      <c r="CO48" s="14">
        <v>0.44739699300000002</v>
      </c>
      <c r="CP48" s="14">
        <v>1.2483926759999999</v>
      </c>
      <c r="CQ48" s="14">
        <v>0.15812587814511442</v>
      </c>
      <c r="CR48" s="14">
        <v>0.15418180799662437</v>
      </c>
      <c r="CS48" s="14">
        <v>0.89777176296156225</v>
      </c>
      <c r="CT48" s="14">
        <v>1.163626727</v>
      </c>
      <c r="CU48" s="14">
        <v>1.2411255919999999</v>
      </c>
      <c r="CV48" s="14">
        <v>1.7060212639999999</v>
      </c>
      <c r="CW48" s="14">
        <v>0.69111612700000002</v>
      </c>
      <c r="CX48" s="14">
        <v>0.23136605505440477</v>
      </c>
      <c r="CY48" s="14">
        <v>0.57720592299999995</v>
      </c>
      <c r="CZ48" s="14">
        <v>0.80032833600000008</v>
      </c>
      <c r="DA48" s="14">
        <v>4.6505362469999998</v>
      </c>
      <c r="DB48" s="14">
        <v>3.6755217235142061</v>
      </c>
      <c r="DC48" s="14">
        <v>3.5438854287320112</v>
      </c>
      <c r="DD48" s="14">
        <v>0.83986722562219462</v>
      </c>
      <c r="DE48" s="14">
        <v>1.2038946656639817</v>
      </c>
      <c r="DF48" s="14">
        <v>1.23216017</v>
      </c>
      <c r="DG48" s="14">
        <v>3.1700934099999998</v>
      </c>
    </row>
    <row r="49" spans="1:111" x14ac:dyDescent="0.3">
      <c r="A49" s="21" t="s">
        <v>39</v>
      </c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14">
        <v>0</v>
      </c>
      <c r="AE49" s="14">
        <v>0</v>
      </c>
      <c r="AF49" s="14">
        <v>0</v>
      </c>
      <c r="AG49" s="14">
        <v>0</v>
      </c>
      <c r="AH49" s="14">
        <v>0</v>
      </c>
      <c r="AI49" s="14">
        <v>0</v>
      </c>
      <c r="AJ49" s="14">
        <v>0</v>
      </c>
      <c r="AK49" s="14">
        <v>0</v>
      </c>
      <c r="AL49" s="14">
        <v>0</v>
      </c>
      <c r="AM49" s="14">
        <v>0</v>
      </c>
      <c r="AN49" s="14">
        <v>0</v>
      </c>
      <c r="AO49" s="14">
        <v>0</v>
      </c>
      <c r="AP49" s="14">
        <v>0</v>
      </c>
      <c r="AQ49" s="14">
        <v>0</v>
      </c>
      <c r="AR49" s="14">
        <v>0</v>
      </c>
      <c r="AS49" s="14">
        <v>0</v>
      </c>
      <c r="AT49" s="14">
        <v>0</v>
      </c>
      <c r="AU49" s="14">
        <v>0</v>
      </c>
      <c r="AV49" s="14">
        <v>0</v>
      </c>
      <c r="AW49" s="14">
        <v>0</v>
      </c>
      <c r="AX49" s="14">
        <v>0</v>
      </c>
      <c r="AY49" s="14">
        <v>0</v>
      </c>
      <c r="AZ49" s="14">
        <v>0</v>
      </c>
      <c r="BA49" s="14">
        <v>0</v>
      </c>
      <c r="BB49" s="14">
        <v>0</v>
      </c>
      <c r="BC49" s="14">
        <v>0</v>
      </c>
      <c r="BD49" s="14">
        <v>0</v>
      </c>
      <c r="BE49" s="14">
        <v>0</v>
      </c>
      <c r="BF49" s="14">
        <v>0</v>
      </c>
      <c r="BG49" s="14">
        <v>0</v>
      </c>
      <c r="BH49" s="14">
        <v>0</v>
      </c>
      <c r="BI49" s="14">
        <v>0</v>
      </c>
      <c r="BJ49" s="14">
        <v>0</v>
      </c>
      <c r="BK49" s="14">
        <v>0</v>
      </c>
      <c r="BL49" s="14">
        <v>0</v>
      </c>
      <c r="BM49" s="14">
        <v>0</v>
      </c>
      <c r="BN49" s="14">
        <v>0</v>
      </c>
      <c r="BO49" s="14">
        <v>2.3420000000000001</v>
      </c>
      <c r="BP49" s="14">
        <v>1.702</v>
      </c>
      <c r="BQ49" s="14">
        <v>2.3809999999999998</v>
      </c>
      <c r="BR49" s="14">
        <v>2.34</v>
      </c>
      <c r="BS49" s="14">
        <v>2.4489999999999998</v>
      </c>
      <c r="BT49" s="14">
        <v>2.3449999999999998</v>
      </c>
      <c r="BU49" s="14">
        <v>1.391</v>
      </c>
      <c r="BV49" s="14">
        <v>1.5579999999999998</v>
      </c>
      <c r="BW49" s="14">
        <v>2.202</v>
      </c>
      <c r="BX49" s="14">
        <v>2.1840000000000002</v>
      </c>
      <c r="BY49" s="14">
        <v>1.3049999999999999</v>
      </c>
      <c r="BZ49" s="14">
        <v>0.84399999999999997</v>
      </c>
      <c r="CA49" s="14">
        <v>1.276</v>
      </c>
      <c r="CB49" s="14">
        <v>1.0667175600000003</v>
      </c>
      <c r="CC49" s="14">
        <v>1.1665465800000001</v>
      </c>
      <c r="CD49" s="14">
        <v>0.8642703300000002</v>
      </c>
      <c r="CE49" s="14">
        <v>2.5390659599999994</v>
      </c>
      <c r="CF49" s="14">
        <v>5.2466259399999986</v>
      </c>
      <c r="CG49" s="14">
        <v>5.010570399999998</v>
      </c>
      <c r="CH49" s="14">
        <v>5.5993302600000003</v>
      </c>
      <c r="CI49" s="14">
        <v>7.0240943599999959</v>
      </c>
      <c r="CJ49" s="14">
        <v>6.562764569999997</v>
      </c>
      <c r="CK49" s="14">
        <v>6.0755234799999904</v>
      </c>
      <c r="CL49" s="14">
        <v>6.6309421000000031</v>
      </c>
      <c r="CM49" s="14">
        <v>7.1013424899999924</v>
      </c>
      <c r="CN49" s="14">
        <v>5.4379069899999939</v>
      </c>
      <c r="CO49" s="14">
        <v>4.7519958098344475</v>
      </c>
      <c r="CP49" s="14">
        <v>4.7765422429218027</v>
      </c>
      <c r="CQ49" s="14">
        <v>5.2557523794327912</v>
      </c>
      <c r="CR49" s="14">
        <v>4.3345319530335411</v>
      </c>
      <c r="CS49" s="14">
        <v>3.4687928619786419</v>
      </c>
      <c r="CT49" s="14">
        <v>2.96761524007524</v>
      </c>
      <c r="CU49" s="14">
        <v>2.7692606072850285</v>
      </c>
      <c r="CV49" s="14">
        <v>1.4802002829936955</v>
      </c>
      <c r="CW49" s="14">
        <v>2.3631571575038213</v>
      </c>
      <c r="CX49" s="14">
        <v>1.9184829989202987</v>
      </c>
      <c r="CY49" s="14">
        <v>2.3752964560000001</v>
      </c>
      <c r="CZ49" s="14">
        <v>2.0750190626175438</v>
      </c>
      <c r="DA49" s="14">
        <v>2.0233573442400501</v>
      </c>
      <c r="DB49" s="14">
        <v>2.4836589890063854</v>
      </c>
      <c r="DC49" s="14">
        <v>3.1127912444561625</v>
      </c>
      <c r="DD49" s="14">
        <v>3.0323797519751041</v>
      </c>
      <c r="DE49" s="14">
        <v>2.9412306014473506</v>
      </c>
      <c r="DF49" s="14">
        <v>4.0556800800000028</v>
      </c>
      <c r="DG49" s="14">
        <v>4.5665112299999979</v>
      </c>
    </row>
    <row r="50" spans="1:111" x14ac:dyDescent="0.3">
      <c r="A50" s="15" t="s">
        <v>40</v>
      </c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17">
        <v>10.33</v>
      </c>
      <c r="AE50" s="17">
        <v>23.141999999999999</v>
      </c>
      <c r="AF50" s="17">
        <v>7.471000000000001</v>
      </c>
      <c r="AG50" s="17">
        <v>10.607000000000001</v>
      </c>
      <c r="AH50" s="17">
        <v>7.016</v>
      </c>
      <c r="AI50" s="17">
        <v>9.653022</v>
      </c>
      <c r="AJ50" s="17">
        <v>11.7087</v>
      </c>
      <c r="AK50" s="17">
        <v>21.875</v>
      </c>
      <c r="AL50" s="17">
        <v>8.6530000000000005</v>
      </c>
      <c r="AM50" s="17">
        <v>9.6189999999999998</v>
      </c>
      <c r="AN50" s="17">
        <v>7.8150000000000004</v>
      </c>
      <c r="AO50" s="17">
        <v>12.854000000000001</v>
      </c>
      <c r="AP50" s="17">
        <v>11.827999999999999</v>
      </c>
      <c r="AQ50" s="17">
        <v>11.643000000000001</v>
      </c>
      <c r="AR50" s="17">
        <v>9.0219999999999985</v>
      </c>
      <c r="AS50" s="17">
        <v>10.202999999999999</v>
      </c>
      <c r="AT50" s="17">
        <v>11.707000000000001</v>
      </c>
      <c r="AU50" s="17">
        <v>10.398139</v>
      </c>
      <c r="AV50" s="17">
        <v>13.866054</v>
      </c>
      <c r="AW50" s="17">
        <v>17.296879999999998</v>
      </c>
      <c r="AX50" s="17">
        <v>17.670999999999996</v>
      </c>
      <c r="AY50" s="17">
        <v>21.163</v>
      </c>
      <c r="AZ50" s="17">
        <v>16.845999999999997</v>
      </c>
      <c r="BA50" s="17">
        <v>14.621999999999998</v>
      </c>
      <c r="BB50" s="17">
        <v>22.724999999999998</v>
      </c>
      <c r="BC50" s="17">
        <v>27.589000000000002</v>
      </c>
      <c r="BD50" s="17">
        <v>26.13</v>
      </c>
      <c r="BE50" s="17">
        <v>31.648796000000001</v>
      </c>
      <c r="BF50" s="17">
        <v>33.677999999999997</v>
      </c>
      <c r="BG50" s="17">
        <v>34.718000000000004</v>
      </c>
      <c r="BH50" s="17">
        <v>38.51</v>
      </c>
      <c r="BI50" s="17">
        <v>40.635999999999996</v>
      </c>
      <c r="BJ50" s="17">
        <v>55.783999999999999</v>
      </c>
      <c r="BK50" s="17">
        <v>76.533999999999992</v>
      </c>
      <c r="BL50" s="17">
        <v>89.234000000000009</v>
      </c>
      <c r="BM50" s="17">
        <v>117.58500000000001</v>
      </c>
      <c r="BN50" s="17">
        <v>120.53999999999999</v>
      </c>
      <c r="BO50" s="17">
        <v>58.41399999999998</v>
      </c>
      <c r="BP50" s="17">
        <v>65.411999999999992</v>
      </c>
      <c r="BQ50" s="17">
        <v>61.593999999999994</v>
      </c>
      <c r="BR50" s="17">
        <v>73.025999999999996</v>
      </c>
      <c r="BS50" s="17">
        <v>58.617000000000004</v>
      </c>
      <c r="BT50" s="17">
        <v>56.911000000000001</v>
      </c>
      <c r="BU50" s="17">
        <v>60.92</v>
      </c>
      <c r="BV50" s="17">
        <v>77.205999999999989</v>
      </c>
      <c r="BW50" s="17">
        <v>72.789000000000001</v>
      </c>
      <c r="BX50" s="17">
        <v>64.959999999999994</v>
      </c>
      <c r="BY50" s="17">
        <v>63.034000000000006</v>
      </c>
      <c r="BZ50" s="17">
        <v>73.224999999999994</v>
      </c>
      <c r="CA50" s="17">
        <v>73.418000000000006</v>
      </c>
      <c r="CB50" s="17">
        <v>81.059351920000196</v>
      </c>
      <c r="CC50" s="17">
        <v>84.482404090000045</v>
      </c>
      <c r="CD50" s="17">
        <v>87.07211868000033</v>
      </c>
      <c r="CE50" s="17">
        <v>92.542314620000354</v>
      </c>
      <c r="CF50" s="17">
        <v>100.57788263000006</v>
      </c>
      <c r="CG50" s="17">
        <v>110.88955233813456</v>
      </c>
      <c r="CH50" s="17">
        <v>131.77101397000047</v>
      </c>
      <c r="CI50" s="17">
        <v>115.0409932700005</v>
      </c>
      <c r="CJ50" s="17">
        <v>136.79429304000038</v>
      </c>
      <c r="CK50" s="17">
        <v>128.62713183000014</v>
      </c>
      <c r="CL50" s="17">
        <v>136.50043557999976</v>
      </c>
      <c r="CM50" s="17">
        <v>125.76805415000027</v>
      </c>
      <c r="CN50" s="17">
        <v>117.33904744843795</v>
      </c>
      <c r="CO50" s="17">
        <v>128.89428807866679</v>
      </c>
      <c r="CP50" s="17">
        <v>117.41185019156117</v>
      </c>
      <c r="CQ50" s="17">
        <v>124.87259836101296</v>
      </c>
      <c r="CR50" s="17">
        <v>118.34715300779442</v>
      </c>
      <c r="CS50" s="17">
        <v>116.99792848972112</v>
      </c>
      <c r="CT50" s="17">
        <v>116.10448520921068</v>
      </c>
      <c r="CU50" s="17">
        <v>109.1646777672868</v>
      </c>
      <c r="CV50" s="17">
        <v>115.46222094774917</v>
      </c>
      <c r="CW50" s="17">
        <v>128.18522643453548</v>
      </c>
      <c r="CX50" s="17">
        <v>130.84640207212581</v>
      </c>
      <c r="CY50" s="17">
        <v>151.9008432664566</v>
      </c>
      <c r="CZ50" s="17">
        <v>88.850424985968715</v>
      </c>
      <c r="DA50" s="17">
        <v>158.78403757622453</v>
      </c>
      <c r="DB50" s="17">
        <v>124.61764962964216</v>
      </c>
      <c r="DC50" s="17">
        <v>172.34672133655479</v>
      </c>
      <c r="DD50" s="17">
        <v>167.43531115595925</v>
      </c>
      <c r="DE50" s="17">
        <v>139.14671261418221</v>
      </c>
      <c r="DF50" s="17">
        <v>123.26845743000024</v>
      </c>
      <c r="DG50" s="17">
        <v>123.19929729137144</v>
      </c>
    </row>
    <row r="51" spans="1:111" x14ac:dyDescent="0.3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</row>
    <row r="52" spans="1:111" x14ac:dyDescent="0.3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</row>
    <row r="53" spans="1:111" x14ac:dyDescent="0.3">
      <c r="A53" s="22" t="s">
        <v>157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>
        <v>126.52650399999999</v>
      </c>
      <c r="AE53" s="9">
        <v>142.936385</v>
      </c>
      <c r="AF53" s="9">
        <v>166.66175199999998</v>
      </c>
      <c r="AG53" s="9">
        <v>113.014623</v>
      </c>
      <c r="AH53" s="9">
        <v>97.298444000000003</v>
      </c>
      <c r="AI53" s="9">
        <v>100.505728</v>
      </c>
      <c r="AJ53" s="9">
        <v>125.120983</v>
      </c>
      <c r="AK53" s="9">
        <v>109.59129400000002</v>
      </c>
      <c r="AL53" s="9">
        <v>93.957391000000001</v>
      </c>
      <c r="AM53" s="9">
        <v>102.13473999999999</v>
      </c>
      <c r="AN53" s="9">
        <v>120.71673200000002</v>
      </c>
      <c r="AO53" s="9">
        <v>114.87799999999999</v>
      </c>
      <c r="AP53" s="9">
        <v>107.594455</v>
      </c>
      <c r="AQ53" s="9">
        <v>100.23859999999998</v>
      </c>
      <c r="AR53" s="9">
        <v>120.82722069000002</v>
      </c>
      <c r="AS53" s="9">
        <v>114.701712</v>
      </c>
      <c r="AT53" s="9">
        <v>106.51901299999999</v>
      </c>
      <c r="AU53" s="9">
        <v>109.77413899999999</v>
      </c>
      <c r="AV53" s="9">
        <v>136.59472807999998</v>
      </c>
      <c r="AW53" s="9">
        <v>120.56777697999998</v>
      </c>
      <c r="AX53" s="9">
        <v>141.01957641000001</v>
      </c>
      <c r="AY53" s="9">
        <v>130.11614786000001</v>
      </c>
      <c r="AZ53" s="9">
        <v>184.47339400000001</v>
      </c>
      <c r="BA53" s="9">
        <v>155.11128100000002</v>
      </c>
      <c r="BB53" s="9">
        <v>160.37471399999998</v>
      </c>
      <c r="BC53" s="9">
        <v>164.69084954000002</v>
      </c>
      <c r="BD53" s="9">
        <v>183.76854664962704</v>
      </c>
      <c r="BE53" s="9">
        <v>215.25444919437084</v>
      </c>
      <c r="BF53" s="9">
        <v>0</v>
      </c>
      <c r="BG53" s="9">
        <v>0</v>
      </c>
      <c r="BH53" s="9">
        <v>0</v>
      </c>
      <c r="BI53" s="9">
        <v>0</v>
      </c>
      <c r="BJ53" s="9">
        <v>239.07600000000002</v>
      </c>
      <c r="BK53" s="9">
        <v>276.75299900000005</v>
      </c>
      <c r="BL53" s="9">
        <v>348.10253</v>
      </c>
      <c r="BM53" s="9">
        <v>333.18529599999999</v>
      </c>
      <c r="BN53" s="9">
        <v>315.63393152667618</v>
      </c>
      <c r="BO53" s="9">
        <v>337.17993100000007</v>
      </c>
      <c r="BP53" s="9">
        <v>399.21049344964217</v>
      </c>
      <c r="BQ53" s="9">
        <v>430.88415289493867</v>
      </c>
      <c r="BR53" s="9">
        <v>444.92200363445818</v>
      </c>
      <c r="BS53" s="9">
        <v>378.52736839775059</v>
      </c>
      <c r="BT53" s="9">
        <v>390.52106199999997</v>
      </c>
      <c r="BU53" s="9">
        <v>351.71299999999997</v>
      </c>
      <c r="BV53" s="9">
        <v>375.9300639999999</v>
      </c>
      <c r="BW53" s="9">
        <v>404.85382600000008</v>
      </c>
      <c r="BX53" s="9">
        <v>419.56156064668573</v>
      </c>
      <c r="BY53" s="9">
        <v>411.81921962686198</v>
      </c>
      <c r="BZ53" s="9">
        <v>385.46940482426629</v>
      </c>
      <c r="CA53" s="9">
        <v>418.78710514036868</v>
      </c>
      <c r="CB53" s="9">
        <v>528.58737261000022</v>
      </c>
      <c r="CC53" s="9">
        <v>546.56830881739745</v>
      </c>
      <c r="CD53" s="9">
        <v>550.38462643000014</v>
      </c>
      <c r="CE53" s="9">
        <v>537.74965014000077</v>
      </c>
      <c r="CF53" s="9">
        <v>587.73455611999998</v>
      </c>
      <c r="CG53" s="9">
        <v>608.22845364813463</v>
      </c>
      <c r="CH53" s="9">
        <v>606.3858547500007</v>
      </c>
      <c r="CI53" s="9">
        <v>554.4062426000005</v>
      </c>
      <c r="CJ53" s="9">
        <v>646.77114328000027</v>
      </c>
      <c r="CK53" s="9">
        <v>635.99385109000002</v>
      </c>
      <c r="CL53" s="9">
        <v>571.74125717999982</v>
      </c>
      <c r="CM53" s="9">
        <v>552.94685793000031</v>
      </c>
      <c r="CN53" s="9">
        <v>612.77950662975763</v>
      </c>
      <c r="CO53" s="9">
        <v>573.18570443749161</v>
      </c>
      <c r="CP53" s="9">
        <v>546.59690263204243</v>
      </c>
      <c r="CQ53" s="9">
        <v>577.62036770078237</v>
      </c>
      <c r="CR53" s="9">
        <v>598.22126460041545</v>
      </c>
      <c r="CS53" s="9">
        <v>577.34866053107839</v>
      </c>
      <c r="CT53" s="9">
        <v>548.67010550456871</v>
      </c>
      <c r="CU53" s="9">
        <v>543.8205672065609</v>
      </c>
      <c r="CV53" s="9">
        <v>596.01784323824165</v>
      </c>
      <c r="CW53" s="9">
        <v>609.62175470582747</v>
      </c>
      <c r="CX53" s="9">
        <v>583.96335247974002</v>
      </c>
      <c r="CY53" s="9">
        <v>712.40787094818756</v>
      </c>
      <c r="CZ53" s="9">
        <v>643.95312823554286</v>
      </c>
      <c r="DA53" s="9">
        <v>850.58653701633921</v>
      </c>
      <c r="DB53" s="9">
        <v>661.20102793292358</v>
      </c>
      <c r="DC53" s="9">
        <v>745.63067396399083</v>
      </c>
      <c r="DD53" s="9">
        <v>808.33652149396687</v>
      </c>
      <c r="DE53" s="9">
        <v>732.45258697327722</v>
      </c>
      <c r="DF53" s="9">
        <v>747.44850910978926</v>
      </c>
      <c r="DG53" s="9">
        <v>798.21000847137134</v>
      </c>
    </row>
    <row r="54" spans="1:111" x14ac:dyDescent="0.3">
      <c r="A54" s="24" t="s">
        <v>41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</row>
    <row r="55" spans="1:111" x14ac:dyDescent="0.3">
      <c r="A55" s="24" t="s">
        <v>42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</row>
    <row r="56" spans="1:111" x14ac:dyDescent="0.3">
      <c r="A56" s="24" t="s">
        <v>43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</row>
    <row r="57" spans="1:111" x14ac:dyDescent="0.3">
      <c r="A57" s="24" t="s">
        <v>44</v>
      </c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</row>
    <row r="58" spans="1:111" x14ac:dyDescent="0.3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</row>
    <row r="59" spans="1:111" x14ac:dyDescent="0.3">
      <c r="A59" s="26" t="s">
        <v>45</v>
      </c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>
        <v>0</v>
      </c>
      <c r="AE59" s="9">
        <v>0</v>
      </c>
      <c r="AF59" s="9">
        <v>0</v>
      </c>
      <c r="AG59" s="9">
        <v>0</v>
      </c>
      <c r="AH59" s="9">
        <v>0</v>
      </c>
      <c r="AI59" s="9">
        <v>0</v>
      </c>
      <c r="AJ59" s="9">
        <v>0</v>
      </c>
      <c r="AK59" s="9">
        <v>0</v>
      </c>
      <c r="AL59" s="9">
        <v>0</v>
      </c>
      <c r="AM59" s="9">
        <v>0</v>
      </c>
      <c r="AN59" s="9">
        <v>0</v>
      </c>
      <c r="AO59" s="9">
        <v>0</v>
      </c>
      <c r="AP59" s="9">
        <v>0</v>
      </c>
      <c r="AQ59" s="9">
        <v>0</v>
      </c>
      <c r="AR59" s="9">
        <v>0</v>
      </c>
      <c r="AS59" s="9">
        <v>0</v>
      </c>
      <c r="AT59" s="9">
        <v>0</v>
      </c>
      <c r="AU59" s="9">
        <v>0</v>
      </c>
      <c r="AV59" s="9">
        <v>2.6921655210524382</v>
      </c>
      <c r="AW59" s="9">
        <v>3.6719469345260203</v>
      </c>
      <c r="AX59" s="9">
        <v>5.5542136434972438</v>
      </c>
      <c r="AY59" s="9">
        <v>7.5756032095565375</v>
      </c>
      <c r="AZ59" s="9">
        <v>10.33265331012862</v>
      </c>
      <c r="BA59" s="9">
        <v>14.09309879015715</v>
      </c>
      <c r="BB59" s="9">
        <v>19.222113386349228</v>
      </c>
      <c r="BC59" s="9">
        <v>26.21777144539168</v>
      </c>
      <c r="BD59" s="9">
        <v>35.311648919999996</v>
      </c>
      <c r="BE59" s="9">
        <v>52.584743680000003</v>
      </c>
      <c r="BF59" s="9">
        <v>44.487559579999996</v>
      </c>
      <c r="BG59" s="9">
        <v>67.922845010000003</v>
      </c>
      <c r="BH59" s="9">
        <v>31.475475029999998</v>
      </c>
      <c r="BI59" s="9">
        <v>57.861472790000001</v>
      </c>
      <c r="BJ59" s="9">
        <v>66.826783239999997</v>
      </c>
      <c r="BK59" s="9">
        <v>75.577303009999994</v>
      </c>
      <c r="BL59" s="9">
        <v>71.072690016439992</v>
      </c>
      <c r="BM59" s="9">
        <v>55.748710050319985</v>
      </c>
      <c r="BN59" s="9">
        <v>99.746156677785279</v>
      </c>
      <c r="BO59" s="9">
        <v>204.29991312487101</v>
      </c>
      <c r="BP59" s="9">
        <v>140.82750637534389</v>
      </c>
      <c r="BQ59" s="9">
        <v>140.32211844241203</v>
      </c>
      <c r="BR59" s="9">
        <v>132.39385380320664</v>
      </c>
      <c r="BS59" s="9">
        <v>140.54124633869665</v>
      </c>
      <c r="BT59" s="9">
        <v>173.46146620340005</v>
      </c>
      <c r="BU59" s="9">
        <v>204.31659993000014</v>
      </c>
      <c r="BV59" s="9">
        <v>183.18433891690034</v>
      </c>
      <c r="BW59" s="9">
        <v>242.58163728922008</v>
      </c>
      <c r="BX59" s="9">
        <v>167.83217077999998</v>
      </c>
      <c r="BY59" s="9">
        <v>111.53487828999961</v>
      </c>
      <c r="BZ59" s="9">
        <v>118.91478781999948</v>
      </c>
      <c r="CA59" s="9">
        <v>130.05494340000001</v>
      </c>
      <c r="CB59" s="9">
        <v>85.103425029999258</v>
      </c>
      <c r="CC59" s="9">
        <v>84.285071330309748</v>
      </c>
      <c r="CD59" s="9">
        <v>98.567127259999552</v>
      </c>
      <c r="CE59" s="9">
        <v>87.881061020001596</v>
      </c>
      <c r="CF59" s="9">
        <v>93.404946099999705</v>
      </c>
      <c r="CG59" s="9">
        <v>103.48092011999935</v>
      </c>
      <c r="CH59" s="9">
        <v>112.96609378000045</v>
      </c>
      <c r="CI59" s="9">
        <v>143.87380966550114</v>
      </c>
      <c r="CJ59" s="9">
        <v>111.72227763000032</v>
      </c>
      <c r="CK59" s="9">
        <v>99.986514110000527</v>
      </c>
      <c r="CL59" s="9">
        <v>106.79303237052486</v>
      </c>
      <c r="CM59" s="9">
        <v>102.75980599993086</v>
      </c>
      <c r="CN59" s="9">
        <v>85.540429844350001</v>
      </c>
      <c r="CO59" s="9">
        <v>100.58247515182001</v>
      </c>
      <c r="CP59" s="9">
        <v>99.186254988660025</v>
      </c>
      <c r="CQ59" s="9">
        <v>129.28149135949991</v>
      </c>
      <c r="CR59" s="9">
        <v>97.90146273864994</v>
      </c>
      <c r="CS59" s="9">
        <v>112.21267587337999</v>
      </c>
      <c r="CT59" s="9">
        <v>96.370966938749987</v>
      </c>
      <c r="CU59" s="9">
        <v>92.640463410459986</v>
      </c>
      <c r="CV59" s="9">
        <v>103.50982644532237</v>
      </c>
      <c r="CW59" s="9">
        <v>97.176953195123872</v>
      </c>
      <c r="CX59" s="9">
        <v>93.148774144330019</v>
      </c>
      <c r="CY59" s="9">
        <v>125.40039571788004</v>
      </c>
      <c r="CZ59" s="9">
        <v>134.88889116533005</v>
      </c>
      <c r="DA59" s="9">
        <v>130.24195767315001</v>
      </c>
      <c r="DB59" s="9">
        <v>125.51414354123997</v>
      </c>
      <c r="DC59" s="9">
        <v>158.39522926001015</v>
      </c>
      <c r="DD59" s="9">
        <v>162.20213513678317</v>
      </c>
      <c r="DE59" s="9">
        <v>142.91912400678004</v>
      </c>
      <c r="DF59" s="9">
        <v>123.47868293610998</v>
      </c>
      <c r="DG59" s="9">
        <v>121.8168244893848</v>
      </c>
    </row>
    <row r="60" spans="1:111" x14ac:dyDescent="0.3">
      <c r="A60" s="19" t="s">
        <v>12</v>
      </c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>
        <v>0</v>
      </c>
      <c r="AE60" s="14">
        <v>0</v>
      </c>
      <c r="AF60" s="14">
        <v>0</v>
      </c>
      <c r="AG60" s="14">
        <v>0</v>
      </c>
      <c r="AH60" s="14">
        <v>0</v>
      </c>
      <c r="AI60" s="14">
        <v>0</v>
      </c>
      <c r="AJ60" s="14">
        <v>0</v>
      </c>
      <c r="AK60" s="14">
        <v>0</v>
      </c>
      <c r="AL60" s="14">
        <v>0</v>
      </c>
      <c r="AM60" s="14">
        <v>0</v>
      </c>
      <c r="AN60" s="14">
        <v>0</v>
      </c>
      <c r="AO60" s="14">
        <v>0</v>
      </c>
      <c r="AP60" s="14">
        <v>0</v>
      </c>
      <c r="AQ60" s="14">
        <v>0</v>
      </c>
      <c r="AR60" s="14">
        <v>0</v>
      </c>
      <c r="AS60" s="14">
        <v>0</v>
      </c>
      <c r="AT60" s="14">
        <v>0</v>
      </c>
      <c r="AU60" s="14">
        <v>0</v>
      </c>
      <c r="AV60" s="14">
        <v>0.38980405671325585</v>
      </c>
      <c r="AW60" s="14">
        <v>0.53166857680968238</v>
      </c>
      <c r="AX60" s="14">
        <v>0.80420575672515193</v>
      </c>
      <c r="AY60" s="14">
        <v>1.096886814738157</v>
      </c>
      <c r="AZ60" s="14">
        <v>1.496085640130052</v>
      </c>
      <c r="BA60" s="14">
        <v>2.0405680992141813</v>
      </c>
      <c r="BB60" s="14">
        <v>2.7832084312824676</v>
      </c>
      <c r="BC60" s="14">
        <v>3.7961238220595908</v>
      </c>
      <c r="BD60" s="14">
        <v>7.35345491</v>
      </c>
      <c r="BE60" s="14">
        <v>11.589615199999999</v>
      </c>
      <c r="BF60" s="14">
        <v>4.2323155400000001</v>
      </c>
      <c r="BG60" s="14">
        <v>5.4771163700000001</v>
      </c>
      <c r="BH60" s="14">
        <v>4.4464353000000001</v>
      </c>
      <c r="BI60" s="14">
        <v>7.5719266800000007</v>
      </c>
      <c r="BJ60" s="14">
        <v>9.4536592600000002</v>
      </c>
      <c r="BK60" s="14">
        <v>5.5567291500000007</v>
      </c>
      <c r="BL60" s="14">
        <v>4.6453153728800007</v>
      </c>
      <c r="BM60" s="14">
        <v>2.1050741339599996</v>
      </c>
      <c r="BN60" s="14">
        <v>3.6116274085634394</v>
      </c>
      <c r="BO60" s="14">
        <v>4.4013888144046796</v>
      </c>
      <c r="BP60" s="14">
        <v>3.216600447725559</v>
      </c>
      <c r="BQ60" s="14">
        <v>5.8612852759293013</v>
      </c>
      <c r="BR60" s="14">
        <v>2.8012191162075402</v>
      </c>
      <c r="BS60" s="14">
        <v>2.8810638000096405</v>
      </c>
      <c r="BT60" s="14">
        <v>5.5372093278900003</v>
      </c>
      <c r="BU60" s="14">
        <v>7.1007162733300024</v>
      </c>
      <c r="BV60" s="14">
        <v>5.6512596584299999</v>
      </c>
      <c r="BW60" s="14">
        <v>3.76682112092</v>
      </c>
      <c r="BX60" s="14">
        <v>13.024812350000001</v>
      </c>
      <c r="BY60" s="14">
        <v>6.1884805600000004</v>
      </c>
      <c r="BZ60" s="14">
        <v>4.8248806200000001</v>
      </c>
      <c r="CA60" s="14">
        <v>4.1687151699999996</v>
      </c>
      <c r="CB60" s="14">
        <v>2.5114931100000013</v>
      </c>
      <c r="CC60" s="14">
        <v>2.7584766499999995</v>
      </c>
      <c r="CD60" s="14">
        <v>5.9605148099999976</v>
      </c>
      <c r="CE60" s="14">
        <v>4.3934974999999996</v>
      </c>
      <c r="CF60" s="14">
        <v>4.8152349499999989</v>
      </c>
      <c r="CG60" s="14">
        <v>6.2237533100000029</v>
      </c>
      <c r="CH60" s="14">
        <v>11.460020459999996</v>
      </c>
      <c r="CI60" s="14">
        <v>21.626712619999996</v>
      </c>
      <c r="CJ60" s="14">
        <v>18.874147479999991</v>
      </c>
      <c r="CK60" s="14">
        <v>7.549280959999999</v>
      </c>
      <c r="CL60" s="14">
        <v>6.1655517733600007</v>
      </c>
      <c r="CM60" s="14">
        <v>4.2837928023599998</v>
      </c>
      <c r="CN60" s="14">
        <v>5.9576334484699984</v>
      </c>
      <c r="CO60" s="14">
        <v>7.4303860935000001</v>
      </c>
      <c r="CP60" s="14">
        <v>8.7930147733500004</v>
      </c>
      <c r="CQ60" s="14">
        <v>10.62859848091</v>
      </c>
      <c r="CR60" s="14">
        <v>6.7835477315999997</v>
      </c>
      <c r="CS60" s="14">
        <v>5.276004663130001</v>
      </c>
      <c r="CT60" s="14">
        <v>9.0692033823199978</v>
      </c>
      <c r="CU60" s="14">
        <v>1.7518688699699996</v>
      </c>
      <c r="CV60" s="14">
        <v>7.3167423023219325</v>
      </c>
      <c r="CW60" s="14">
        <v>2.0961396701047055</v>
      </c>
      <c r="CX60" s="14">
        <v>3.0749790554800001</v>
      </c>
      <c r="CY60" s="14">
        <v>2.3268002898500004</v>
      </c>
      <c r="CZ60" s="14">
        <v>25.105100754000006</v>
      </c>
      <c r="DA60" s="14">
        <v>15.068152925270001</v>
      </c>
      <c r="DB60" s="14">
        <v>2.945951144895</v>
      </c>
      <c r="DC60" s="14">
        <v>5.3703056088800007</v>
      </c>
      <c r="DD60" s="14">
        <v>5.1643302474274089</v>
      </c>
      <c r="DE60" s="14">
        <v>10.372038259039998</v>
      </c>
      <c r="DF60" s="14">
        <v>2.2652146501299999</v>
      </c>
      <c r="DG60" s="14">
        <v>2.2094063481192592</v>
      </c>
    </row>
    <row r="61" spans="1:111" x14ac:dyDescent="0.3">
      <c r="A61" s="19" t="s">
        <v>13</v>
      </c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>
        <v>0</v>
      </c>
      <c r="AE61" s="14">
        <v>0</v>
      </c>
      <c r="AF61" s="14">
        <v>0</v>
      </c>
      <c r="AG61" s="14">
        <v>0</v>
      </c>
      <c r="AH61" s="14">
        <v>0</v>
      </c>
      <c r="AI61" s="14">
        <v>0</v>
      </c>
      <c r="AJ61" s="14">
        <v>0</v>
      </c>
      <c r="AK61" s="14">
        <v>0</v>
      </c>
      <c r="AL61" s="14">
        <v>0</v>
      </c>
      <c r="AM61" s="14">
        <v>0</v>
      </c>
      <c r="AN61" s="14">
        <v>0</v>
      </c>
      <c r="AO61" s="14">
        <v>0</v>
      </c>
      <c r="AP61" s="14">
        <v>0</v>
      </c>
      <c r="AQ61" s="14">
        <v>0</v>
      </c>
      <c r="AR61" s="14">
        <v>0</v>
      </c>
      <c r="AS61" s="14">
        <v>0</v>
      </c>
      <c r="AT61" s="14">
        <v>0</v>
      </c>
      <c r="AU61" s="14">
        <v>0</v>
      </c>
      <c r="AV61" s="14">
        <v>0.35536920738122535</v>
      </c>
      <c r="AW61" s="14">
        <v>0.48470157628284077</v>
      </c>
      <c r="AX61" s="14">
        <v>0.73316313008272782</v>
      </c>
      <c r="AY61" s="14">
        <v>0.99998907458050623</v>
      </c>
      <c r="AZ61" s="14">
        <v>1.3639231274048691</v>
      </c>
      <c r="BA61" s="14">
        <v>1.8603066221001132</v>
      </c>
      <c r="BB61" s="14">
        <v>2.5373429474828759</v>
      </c>
      <c r="BC61" s="14">
        <v>3.4607785386868439</v>
      </c>
      <c r="BD61" s="14">
        <v>6.2927877199999998</v>
      </c>
      <c r="BE61" s="14">
        <v>10.190381589999999</v>
      </c>
      <c r="BF61" s="14">
        <v>8.1046541899999998</v>
      </c>
      <c r="BG61" s="14">
        <v>6.2950439499999993</v>
      </c>
      <c r="BH61" s="14">
        <v>3.9715005300000001</v>
      </c>
      <c r="BI61" s="14">
        <v>6.9877913100000004</v>
      </c>
      <c r="BJ61" s="14">
        <v>5.1694764500000003</v>
      </c>
      <c r="BK61" s="14">
        <v>4.0112414200000002</v>
      </c>
      <c r="BL61" s="14">
        <v>2.7903301257999997</v>
      </c>
      <c r="BM61" s="14">
        <v>1.34121160516</v>
      </c>
      <c r="BN61" s="14">
        <v>2.6941015148126803</v>
      </c>
      <c r="BO61" s="14">
        <v>5.5186920893347597</v>
      </c>
      <c r="BP61" s="14">
        <v>3.0102070350532601</v>
      </c>
      <c r="BQ61" s="14">
        <v>6.3975089294760004</v>
      </c>
      <c r="BR61" s="14">
        <v>3.7179351408222803</v>
      </c>
      <c r="BS61" s="14">
        <v>5.6168336185201788</v>
      </c>
      <c r="BT61" s="14">
        <v>6.799690331349999</v>
      </c>
      <c r="BU61" s="14">
        <v>6.3248129359500016</v>
      </c>
      <c r="BV61" s="14">
        <v>11.045519655069999</v>
      </c>
      <c r="BW61" s="14">
        <v>16.501617058459999</v>
      </c>
      <c r="BX61" s="14">
        <v>5.5846545100000009</v>
      </c>
      <c r="BY61" s="14">
        <v>4.1429709499999987</v>
      </c>
      <c r="BZ61" s="14">
        <v>2.6129713699999999</v>
      </c>
      <c r="CA61" s="14">
        <v>9.1367493499999988</v>
      </c>
      <c r="CB61" s="14">
        <v>5.0486997499999982</v>
      </c>
      <c r="CC61" s="14">
        <v>5.4186088600000026</v>
      </c>
      <c r="CD61" s="14">
        <v>4.4261363999999981</v>
      </c>
      <c r="CE61" s="14">
        <v>6.3396751300000016</v>
      </c>
      <c r="CF61" s="14">
        <v>4.5997873299999981</v>
      </c>
      <c r="CG61" s="14">
        <v>4.0490141799999977</v>
      </c>
      <c r="CH61" s="14">
        <v>4.4065658500000007</v>
      </c>
      <c r="CI61" s="14">
        <v>8.9135330800000006</v>
      </c>
      <c r="CJ61" s="14">
        <v>4.7117518300000008</v>
      </c>
      <c r="CK61" s="14">
        <v>4.0283024199999993</v>
      </c>
      <c r="CL61" s="14">
        <v>4.7869481208749978</v>
      </c>
      <c r="CM61" s="14">
        <v>8.7510909446500023</v>
      </c>
      <c r="CN61" s="14">
        <v>3.9869043016699997</v>
      </c>
      <c r="CO61" s="14">
        <v>5.1711992602599999</v>
      </c>
      <c r="CP61" s="14">
        <v>4.0099825797799999</v>
      </c>
      <c r="CQ61" s="14">
        <v>11.069851089819998</v>
      </c>
      <c r="CR61" s="14">
        <v>2.91501267728</v>
      </c>
      <c r="CS61" s="14">
        <v>2.95826760954</v>
      </c>
      <c r="CT61" s="14">
        <v>3.7924490559099997</v>
      </c>
      <c r="CU61" s="14">
        <v>8.9546409622300018</v>
      </c>
      <c r="CV61" s="14">
        <v>5.7919671183584294</v>
      </c>
      <c r="CW61" s="14">
        <v>4.1604133309076889</v>
      </c>
      <c r="CX61" s="14">
        <v>3.5446174794699998</v>
      </c>
      <c r="CY61" s="14">
        <v>14.08486014741</v>
      </c>
      <c r="CZ61" s="14">
        <v>9.2930165857700011</v>
      </c>
      <c r="DA61" s="14">
        <v>13.024321100009999</v>
      </c>
      <c r="DB61" s="14">
        <v>6.2358923606100003</v>
      </c>
      <c r="DC61" s="14">
        <v>17.153802849910011</v>
      </c>
      <c r="DD61" s="14">
        <v>16.977535323537047</v>
      </c>
      <c r="DE61" s="14">
        <v>15.796706848820005</v>
      </c>
      <c r="DF61" s="14">
        <v>5.213873694190001</v>
      </c>
      <c r="DG61" s="14">
        <v>4.9577121023059263</v>
      </c>
    </row>
    <row r="62" spans="1:111" x14ac:dyDescent="0.3">
      <c r="A62" s="19" t="s">
        <v>36</v>
      </c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>
        <v>0</v>
      </c>
      <c r="AE62" s="14">
        <v>0</v>
      </c>
      <c r="AF62" s="14">
        <v>0</v>
      </c>
      <c r="AG62" s="14">
        <v>0</v>
      </c>
      <c r="AH62" s="14">
        <v>0</v>
      </c>
      <c r="AI62" s="14">
        <v>0</v>
      </c>
      <c r="AJ62" s="14">
        <v>0</v>
      </c>
      <c r="AK62" s="14">
        <v>0</v>
      </c>
      <c r="AL62" s="14">
        <v>0</v>
      </c>
      <c r="AM62" s="14">
        <v>0</v>
      </c>
      <c r="AN62" s="14">
        <v>0</v>
      </c>
      <c r="AO62" s="14">
        <v>0</v>
      </c>
      <c r="AP62" s="14">
        <v>0</v>
      </c>
      <c r="AQ62" s="14">
        <v>0</v>
      </c>
      <c r="AR62" s="14">
        <v>0</v>
      </c>
      <c r="AS62" s="14">
        <v>0</v>
      </c>
      <c r="AT62" s="14">
        <v>0</v>
      </c>
      <c r="AU62" s="14">
        <v>0</v>
      </c>
      <c r="AV62" s="14">
        <v>9.0013827698135034E-3</v>
      </c>
      <c r="AW62" s="14">
        <v>1.227732827333399E-2</v>
      </c>
      <c r="AX62" s="14">
        <v>1.8570776053507501E-2</v>
      </c>
      <c r="AY62" s="14">
        <v>2.532938768742142E-2</v>
      </c>
      <c r="AZ62" s="14">
        <v>3.4547715118158427E-2</v>
      </c>
      <c r="BA62" s="14">
        <v>4.7120942464714502E-2</v>
      </c>
      <c r="BB62" s="14">
        <v>6.4270045389945102E-2</v>
      </c>
      <c r="BC62" s="14">
        <v>8.7660359032902258E-2</v>
      </c>
      <c r="BD62" s="14">
        <v>0.11488079</v>
      </c>
      <c r="BE62" s="14">
        <v>0.53889902000000001</v>
      </c>
      <c r="BF62" s="14">
        <v>5.4243819999999998E-2</v>
      </c>
      <c r="BG62" s="14">
        <v>7.0831260000000007E-2</v>
      </c>
      <c r="BH62" s="14">
        <v>6.7516449999999992E-2</v>
      </c>
      <c r="BI62" s="14">
        <v>0.32997313</v>
      </c>
      <c r="BJ62" s="14">
        <v>0.19945911</v>
      </c>
      <c r="BK62" s="14">
        <v>9.6646160000000009E-2</v>
      </c>
      <c r="BL62" s="14">
        <v>5.0251050360000007E-2</v>
      </c>
      <c r="BM62" s="14">
        <v>6.7367774880000009E-2</v>
      </c>
      <c r="BN62" s="14">
        <v>6.990211545295999E-2</v>
      </c>
      <c r="BO62" s="14">
        <v>0.2877469391803999</v>
      </c>
      <c r="BP62" s="14">
        <v>0.17693703012454004</v>
      </c>
      <c r="BQ62" s="14">
        <v>0.54736784077038003</v>
      </c>
      <c r="BR62" s="14">
        <v>1.2702130471284803</v>
      </c>
      <c r="BS62" s="14">
        <v>1.4004574376552201</v>
      </c>
      <c r="BT62" s="14">
        <v>1.61258625708</v>
      </c>
      <c r="BU62" s="14">
        <v>2.2102027510600002</v>
      </c>
      <c r="BV62" s="14">
        <v>1.8681292872099999</v>
      </c>
      <c r="BW62" s="14">
        <v>1.9686315024300001</v>
      </c>
      <c r="BX62" s="14">
        <v>1.3592285800000001</v>
      </c>
      <c r="BY62" s="14">
        <v>0.70361686000000001</v>
      </c>
      <c r="BZ62" s="14">
        <v>0.82403526000000005</v>
      </c>
      <c r="CA62" s="14">
        <v>0.53600621000000004</v>
      </c>
      <c r="CB62" s="14">
        <v>1.2867207299999994</v>
      </c>
      <c r="CC62" s="14">
        <v>0.61617544999999996</v>
      </c>
      <c r="CD62" s="14">
        <v>0.72380173999999986</v>
      </c>
      <c r="CE62" s="14">
        <v>0.47030250000000029</v>
      </c>
      <c r="CF62" s="14">
        <v>1.0020601699999991</v>
      </c>
      <c r="CG62" s="14">
        <v>0.97867598000000022</v>
      </c>
      <c r="CH62" s="14">
        <v>0.58706613999999979</v>
      </c>
      <c r="CI62" s="14">
        <v>1.0615969999999997</v>
      </c>
      <c r="CJ62" s="14">
        <v>1.08130652</v>
      </c>
      <c r="CK62" s="14">
        <v>0.81941252999999969</v>
      </c>
      <c r="CL62" s="14">
        <v>0.19187762003999995</v>
      </c>
      <c r="CM62" s="14">
        <v>0.36921376029999997</v>
      </c>
      <c r="CN62" s="14">
        <v>0.46460883110999995</v>
      </c>
      <c r="CO62" s="14">
        <v>0.95725335524999999</v>
      </c>
      <c r="CP62" s="14">
        <v>1.0172316432000001</v>
      </c>
      <c r="CQ62" s="14">
        <v>1.3382732812200004</v>
      </c>
      <c r="CR62" s="14">
        <v>0.61395363197999997</v>
      </c>
      <c r="CS62" s="14">
        <v>1.6743532327400001</v>
      </c>
      <c r="CT62" s="14">
        <v>0.66525447251999992</v>
      </c>
      <c r="CU62" s="14">
        <v>0.31306149324000004</v>
      </c>
      <c r="CV62" s="14">
        <v>0.24328984149601696</v>
      </c>
      <c r="CW62" s="14">
        <v>0.36234161907179518</v>
      </c>
      <c r="CX62" s="14">
        <v>0.87589790326999983</v>
      </c>
      <c r="CY62" s="14">
        <v>0.51972726355999987</v>
      </c>
      <c r="CZ62" s="14">
        <v>0.86404571722000001</v>
      </c>
      <c r="DA62" s="14">
        <v>0.71672867129000029</v>
      </c>
      <c r="DB62" s="14">
        <v>2.1722348999999995E-2</v>
      </c>
      <c r="DC62" s="14">
        <v>1.4110730460000002E-2</v>
      </c>
      <c r="DD62" s="14">
        <v>1.6799532973333333E-2</v>
      </c>
      <c r="DE62" s="14">
        <v>0.31756616780999991</v>
      </c>
      <c r="DF62" s="14">
        <v>1.7996676083700001</v>
      </c>
      <c r="DG62" s="14">
        <v>1.9170974248711112</v>
      </c>
    </row>
    <row r="63" spans="1:111" x14ac:dyDescent="0.3">
      <c r="A63" s="19" t="s">
        <v>46</v>
      </c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>
        <v>0</v>
      </c>
      <c r="AE63" s="14">
        <v>0</v>
      </c>
      <c r="AF63" s="14">
        <v>0</v>
      </c>
      <c r="AG63" s="14">
        <v>0</v>
      </c>
      <c r="AH63" s="14">
        <v>0</v>
      </c>
      <c r="AI63" s="14">
        <v>0</v>
      </c>
      <c r="AJ63" s="14">
        <v>0</v>
      </c>
      <c r="AK63" s="14">
        <v>0</v>
      </c>
      <c r="AL63" s="14">
        <v>0</v>
      </c>
      <c r="AM63" s="14">
        <v>0</v>
      </c>
      <c r="AN63" s="14">
        <v>0</v>
      </c>
      <c r="AO63" s="14">
        <v>0</v>
      </c>
      <c r="AP63" s="14">
        <v>0</v>
      </c>
      <c r="AQ63" s="14">
        <v>0</v>
      </c>
      <c r="AR63" s="14">
        <v>0</v>
      </c>
      <c r="AS63" s="14">
        <v>0</v>
      </c>
      <c r="AT63" s="14">
        <v>0</v>
      </c>
      <c r="AU63" s="14">
        <v>0</v>
      </c>
      <c r="AV63" s="14">
        <v>7.514416269958267E-2</v>
      </c>
      <c r="AW63" s="14">
        <v>0.1024919811633241</v>
      </c>
      <c r="AX63" s="14">
        <v>0.1550301162508162</v>
      </c>
      <c r="AY63" s="14">
        <v>0.21145147119477908</v>
      </c>
      <c r="AZ63" s="14">
        <v>0.2884067028505572</v>
      </c>
      <c r="BA63" s="14">
        <v>0.39336886983637764</v>
      </c>
      <c r="BB63" s="14">
        <v>0.53653076099458641</v>
      </c>
      <c r="BC63" s="14">
        <v>0.73179470864882634</v>
      </c>
      <c r="BD63" s="14">
        <v>2.1296243100000001</v>
      </c>
      <c r="BE63" s="14">
        <v>2.6077613999999998</v>
      </c>
      <c r="BF63" s="14">
        <v>0.55530263000000002</v>
      </c>
      <c r="BG63" s="14">
        <v>0.78004625999999999</v>
      </c>
      <c r="BH63" s="14">
        <v>1.2834110399999998</v>
      </c>
      <c r="BI63" s="14">
        <v>1.5546717799999998</v>
      </c>
      <c r="BJ63" s="14">
        <v>1.06474198</v>
      </c>
      <c r="BK63" s="14">
        <v>0.90973393999999996</v>
      </c>
      <c r="BL63" s="14">
        <v>2.3784534057200006</v>
      </c>
      <c r="BM63" s="14">
        <v>0.88849437068000003</v>
      </c>
      <c r="BN63" s="14">
        <v>1.52976506431448</v>
      </c>
      <c r="BO63" s="14">
        <v>2.3677697960467592</v>
      </c>
      <c r="BP63" s="14">
        <v>1.9188820988302016</v>
      </c>
      <c r="BQ63" s="14">
        <v>2.7371472404899007</v>
      </c>
      <c r="BR63" s="14">
        <v>1.4936758614549797</v>
      </c>
      <c r="BS63" s="14">
        <v>1.4038000367001808</v>
      </c>
      <c r="BT63" s="14">
        <v>2.1329958448799999</v>
      </c>
      <c r="BU63" s="14">
        <v>2.0387777760799999</v>
      </c>
      <c r="BV63" s="14">
        <v>1.7328376602499997</v>
      </c>
      <c r="BW63" s="14">
        <v>2.3354929090999996</v>
      </c>
      <c r="BX63" s="14">
        <v>3.1168884100000001</v>
      </c>
      <c r="BY63" s="14">
        <v>3.3213879999999998</v>
      </c>
      <c r="BZ63" s="14">
        <v>2.90307498</v>
      </c>
      <c r="CA63" s="14">
        <v>3.0503429399999997</v>
      </c>
      <c r="CB63" s="14">
        <v>2.2201293500000014</v>
      </c>
      <c r="CC63" s="14">
        <v>1.4829926800000002</v>
      </c>
      <c r="CD63" s="14">
        <v>1.6242564899999998</v>
      </c>
      <c r="CE63" s="14">
        <v>2.1197889199999991</v>
      </c>
      <c r="CF63" s="14">
        <v>1.8624411699999999</v>
      </c>
      <c r="CG63" s="14">
        <v>2.351099969999999</v>
      </c>
      <c r="CH63" s="14">
        <v>2.114174310000001</v>
      </c>
      <c r="CI63" s="14">
        <v>2.1919636399999995</v>
      </c>
      <c r="CJ63" s="14">
        <v>2.4394963399999998</v>
      </c>
      <c r="CK63" s="14">
        <v>1.7897391700000003</v>
      </c>
      <c r="CL63" s="14">
        <v>0.82454458210000037</v>
      </c>
      <c r="CM63" s="14">
        <v>1.0420042729700003</v>
      </c>
      <c r="CN63" s="14">
        <v>0.97249593993999994</v>
      </c>
      <c r="CO63" s="14">
        <v>1.5222218306199999</v>
      </c>
      <c r="CP63" s="14">
        <v>1.5381099036100001</v>
      </c>
      <c r="CQ63" s="14">
        <v>1.4724123003800003</v>
      </c>
      <c r="CR63" s="14">
        <v>1.0431538630700001</v>
      </c>
      <c r="CS63" s="14">
        <v>1.1425347726499999</v>
      </c>
      <c r="CT63" s="14">
        <v>0.92137607292000023</v>
      </c>
      <c r="CU63" s="14">
        <v>1.0338624040400002</v>
      </c>
      <c r="CV63" s="14">
        <v>0.54328228647088916</v>
      </c>
      <c r="CW63" s="14">
        <v>0.56641738864994684</v>
      </c>
      <c r="CX63" s="14">
        <v>0.99315514485000012</v>
      </c>
      <c r="CY63" s="14">
        <v>1.5852059697299996</v>
      </c>
      <c r="CZ63" s="14">
        <v>1.6211078884700005</v>
      </c>
      <c r="DA63" s="14">
        <v>1.6112164521099999</v>
      </c>
      <c r="DB63" s="14">
        <v>2.3579498009400002</v>
      </c>
      <c r="DC63" s="14">
        <v>2.5940064737699995</v>
      </c>
      <c r="DD63" s="14">
        <v>2.8061539229388885</v>
      </c>
      <c r="DE63" s="14">
        <v>2.5981204539699996</v>
      </c>
      <c r="DF63" s="14">
        <v>2.17672991328</v>
      </c>
      <c r="DG63" s="14">
        <v>2.040359502461111</v>
      </c>
    </row>
    <row r="64" spans="1:111" x14ac:dyDescent="0.3">
      <c r="A64" s="19" t="s">
        <v>47</v>
      </c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>
        <v>0</v>
      </c>
      <c r="AE64" s="14">
        <v>0</v>
      </c>
      <c r="AF64" s="14">
        <v>0</v>
      </c>
      <c r="AG64" s="14">
        <v>0</v>
      </c>
      <c r="AH64" s="14">
        <v>0</v>
      </c>
      <c r="AI64" s="14">
        <v>0</v>
      </c>
      <c r="AJ64" s="14">
        <v>0</v>
      </c>
      <c r="AK64" s="14">
        <v>0</v>
      </c>
      <c r="AL64" s="14">
        <v>0</v>
      </c>
      <c r="AM64" s="14">
        <v>0</v>
      </c>
      <c r="AN64" s="14">
        <v>0</v>
      </c>
      <c r="AO64" s="14">
        <v>0</v>
      </c>
      <c r="AP64" s="14">
        <v>0</v>
      </c>
      <c r="AQ64" s="14">
        <v>0</v>
      </c>
      <c r="AR64" s="14">
        <v>0</v>
      </c>
      <c r="AS64" s="14">
        <v>0</v>
      </c>
      <c r="AT64" s="14">
        <v>0</v>
      </c>
      <c r="AU64" s="14">
        <v>0</v>
      </c>
      <c r="AV64" s="14">
        <v>8.6594646416741777E-2</v>
      </c>
      <c r="AW64" s="14">
        <v>0.11810973135560268</v>
      </c>
      <c r="AX64" s="14">
        <v>0.17865363879768617</v>
      </c>
      <c r="AY64" s="14">
        <v>0.24367249197539398</v>
      </c>
      <c r="AZ64" s="14">
        <v>0.33235417842643705</v>
      </c>
      <c r="BA64" s="14">
        <v>0.45331050305286885</v>
      </c>
      <c r="BB64" s="14">
        <v>0.61828743405892839</v>
      </c>
      <c r="BC64" s="14">
        <v>0.84330574416580228</v>
      </c>
      <c r="BD64" s="14">
        <v>1.1771495700000001</v>
      </c>
      <c r="BE64" s="14">
        <v>2.1396402999999999</v>
      </c>
      <c r="BF64" s="14">
        <v>1.1393661900000001</v>
      </c>
      <c r="BG64" s="14">
        <v>1.8612761099999999</v>
      </c>
      <c r="BH64" s="14">
        <v>1.2674802399999998</v>
      </c>
      <c r="BI64" s="14">
        <v>1.5446471900000001</v>
      </c>
      <c r="BJ64" s="14">
        <v>1.50833445</v>
      </c>
      <c r="BK64" s="14">
        <v>1.3260206699999999</v>
      </c>
      <c r="BL64" s="14">
        <v>2.3933836903199999</v>
      </c>
      <c r="BM64" s="14">
        <v>1.2860681573600004</v>
      </c>
      <c r="BN64" s="14">
        <v>1.9743660058992798</v>
      </c>
      <c r="BO64" s="14">
        <v>2.7075284839682805</v>
      </c>
      <c r="BP64" s="14">
        <v>2.3659527695196392</v>
      </c>
      <c r="BQ64" s="14">
        <v>3.0938132114934813</v>
      </c>
      <c r="BR64" s="14">
        <v>2.1183620576690609</v>
      </c>
      <c r="BS64" s="14">
        <v>1.8964465320245194</v>
      </c>
      <c r="BT64" s="14">
        <v>2.45157475256</v>
      </c>
      <c r="BU64" s="14">
        <v>3.5080953363900003</v>
      </c>
      <c r="BV64" s="14">
        <v>3.3017024359000002</v>
      </c>
      <c r="BW64" s="14">
        <v>2.9681358364200001</v>
      </c>
      <c r="BX64" s="14">
        <v>2.4891739900000003</v>
      </c>
      <c r="BY64" s="14">
        <v>1.846072010000001</v>
      </c>
      <c r="BZ64" s="14">
        <v>2.2235462899999998</v>
      </c>
      <c r="CA64" s="14">
        <v>1.3703750399999999</v>
      </c>
      <c r="CB64" s="14">
        <v>1.2475452699999992</v>
      </c>
      <c r="CC64" s="14">
        <v>1.133106819999999</v>
      </c>
      <c r="CD64" s="14">
        <v>0.99004846000000035</v>
      </c>
      <c r="CE64" s="14">
        <v>1.2327510300000006</v>
      </c>
      <c r="CF64" s="14">
        <v>1.3617313000000002</v>
      </c>
      <c r="CG64" s="14">
        <v>1.3784962200000004</v>
      </c>
      <c r="CH64" s="14">
        <v>1.67470154</v>
      </c>
      <c r="CI64" s="14">
        <v>1.7037306799999969</v>
      </c>
      <c r="CJ64" s="14">
        <v>1.1220230100000006</v>
      </c>
      <c r="CK64" s="14">
        <v>1.3560202699999997</v>
      </c>
      <c r="CL64" s="14">
        <v>1.347596271610001</v>
      </c>
      <c r="CM64" s="14">
        <v>1.1228179638100009</v>
      </c>
      <c r="CN64" s="14">
        <v>1.2519480544500001</v>
      </c>
      <c r="CO64" s="14">
        <v>1.1778624869799998</v>
      </c>
      <c r="CP64" s="14">
        <v>1.2180328812100001</v>
      </c>
      <c r="CQ64" s="14">
        <v>1.1554586958999997</v>
      </c>
      <c r="CR64" s="14">
        <v>1.3798535644300001</v>
      </c>
      <c r="CS64" s="14">
        <v>1.2729557436600001</v>
      </c>
      <c r="CT64" s="14">
        <v>0.8548713508600001</v>
      </c>
      <c r="CU64" s="14">
        <v>0.89459573344999999</v>
      </c>
      <c r="CV64" s="14">
        <v>1.1038688891256401</v>
      </c>
      <c r="CW64" s="14">
        <v>1.3375132115876052</v>
      </c>
      <c r="CX64" s="14">
        <v>0.91390831028999997</v>
      </c>
      <c r="CY64" s="14">
        <v>0.89895498747000024</v>
      </c>
      <c r="CZ64" s="14">
        <v>1.10143772411</v>
      </c>
      <c r="DA64" s="14">
        <v>1.18346739371</v>
      </c>
      <c r="DB64" s="14">
        <v>1.3249640293499998</v>
      </c>
      <c r="DC64" s="14">
        <v>1.75213034123</v>
      </c>
      <c r="DD64" s="14">
        <v>1.8261589724818519</v>
      </c>
      <c r="DE64" s="14">
        <v>1.2505486014299998</v>
      </c>
      <c r="DF64" s="14">
        <v>1.7155981680100001</v>
      </c>
      <c r="DG64" s="14">
        <v>1.7374732611837036</v>
      </c>
    </row>
    <row r="65" spans="1:111" x14ac:dyDescent="0.3">
      <c r="A65" s="19" t="s">
        <v>48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>
        <v>0</v>
      </c>
      <c r="AE65" s="14">
        <v>0</v>
      </c>
      <c r="AF65" s="14">
        <v>0</v>
      </c>
      <c r="AG65" s="14">
        <v>0</v>
      </c>
      <c r="AH65" s="14">
        <v>0</v>
      </c>
      <c r="AI65" s="14">
        <v>0</v>
      </c>
      <c r="AJ65" s="14">
        <v>0</v>
      </c>
      <c r="AK65" s="14">
        <v>0</v>
      </c>
      <c r="AL65" s="14">
        <v>0</v>
      </c>
      <c r="AM65" s="14">
        <v>0</v>
      </c>
      <c r="AN65" s="14">
        <v>0</v>
      </c>
      <c r="AO65" s="14">
        <v>0</v>
      </c>
      <c r="AP65" s="14">
        <v>0</v>
      </c>
      <c r="AQ65" s="14">
        <v>0</v>
      </c>
      <c r="AR65" s="14">
        <v>0</v>
      </c>
      <c r="AS65" s="14">
        <v>0</v>
      </c>
      <c r="AT65" s="14">
        <v>0</v>
      </c>
      <c r="AU65" s="14">
        <v>0</v>
      </c>
      <c r="AV65" s="14">
        <v>0.22375611741303547</v>
      </c>
      <c r="AW65" s="14">
        <v>0.30518947776102823</v>
      </c>
      <c r="AX65" s="14">
        <v>0.46163182405872794</v>
      </c>
      <c r="AY65" s="14">
        <v>0.62963720023033609</v>
      </c>
      <c r="AZ65" s="14">
        <v>0.85878612186724279</v>
      </c>
      <c r="BA65" s="14">
        <v>1.1713310503921608</v>
      </c>
      <c r="BB65" s="14">
        <v>1.5976229641783832</v>
      </c>
      <c r="BC65" s="14">
        <v>2.1790587168466016</v>
      </c>
      <c r="BD65" s="14">
        <v>3.0098743299999997</v>
      </c>
      <c r="BE65" s="14">
        <v>3.3352588299999999</v>
      </c>
      <c r="BF65" s="14">
        <v>3.1009318099999996</v>
      </c>
      <c r="BG65" s="14">
        <v>6.4246452900000008</v>
      </c>
      <c r="BH65" s="14">
        <v>3.9735630899999999</v>
      </c>
      <c r="BI65" s="14">
        <v>6.0696243200000008</v>
      </c>
      <c r="BJ65" s="14">
        <v>5.51632473</v>
      </c>
      <c r="BK65" s="14">
        <v>5.8071762899999992</v>
      </c>
      <c r="BL65" s="14">
        <v>9.6459182114400015</v>
      </c>
      <c r="BM65" s="14">
        <v>5.2828733803999999</v>
      </c>
      <c r="BN65" s="14">
        <v>9.3593115187935982</v>
      </c>
      <c r="BO65" s="14">
        <v>15.28469499645788</v>
      </c>
      <c r="BP65" s="14">
        <v>13.548828450502505</v>
      </c>
      <c r="BQ65" s="14">
        <v>13.476485998432375</v>
      </c>
      <c r="BR65" s="14">
        <v>10.612130854670106</v>
      </c>
      <c r="BS65" s="14">
        <v>11.138249600517906</v>
      </c>
      <c r="BT65" s="14">
        <v>12.342642014570002</v>
      </c>
      <c r="BU65" s="14">
        <v>15.886127247010002</v>
      </c>
      <c r="BV65" s="14">
        <v>17.960062793199999</v>
      </c>
      <c r="BW65" s="14">
        <v>23.90829988474</v>
      </c>
      <c r="BX65" s="14">
        <v>14.790185139999998</v>
      </c>
      <c r="BY65" s="14">
        <v>11.520958730000009</v>
      </c>
      <c r="BZ65" s="14">
        <v>14.897845229999991</v>
      </c>
      <c r="CA65" s="14">
        <v>13.98256875</v>
      </c>
      <c r="CB65" s="14">
        <v>9.9497800400000109</v>
      </c>
      <c r="CC65" s="14">
        <v>10.558156630000006</v>
      </c>
      <c r="CD65" s="14">
        <v>11.715220320000022</v>
      </c>
      <c r="CE65" s="14">
        <v>14.407437890000011</v>
      </c>
      <c r="CF65" s="14">
        <v>13.464149039999988</v>
      </c>
      <c r="CG65" s="14">
        <v>13.448035329999989</v>
      </c>
      <c r="CH65" s="14">
        <v>16.563363480000035</v>
      </c>
      <c r="CI65" s="14">
        <v>22.628279259999989</v>
      </c>
      <c r="CJ65" s="14">
        <v>13.553187410000021</v>
      </c>
      <c r="CK65" s="14">
        <v>14.738953249999991</v>
      </c>
      <c r="CL65" s="14">
        <v>17.31293529510496</v>
      </c>
      <c r="CM65" s="14">
        <v>18.637431114239973</v>
      </c>
      <c r="CN65" s="14">
        <v>14.938585937889991</v>
      </c>
      <c r="CO65" s="14">
        <v>17.581634263680009</v>
      </c>
      <c r="CP65" s="14">
        <v>16.405007424849995</v>
      </c>
      <c r="CQ65" s="14">
        <v>21.37684375457998</v>
      </c>
      <c r="CR65" s="14">
        <v>14.388986118959998</v>
      </c>
      <c r="CS65" s="14">
        <v>14.514032124310003</v>
      </c>
      <c r="CT65" s="14">
        <v>11.816239216490001</v>
      </c>
      <c r="CU65" s="14">
        <v>11.047301272910001</v>
      </c>
      <c r="CV65" s="14">
        <v>12.352452219607821</v>
      </c>
      <c r="CW65" s="14">
        <v>10.059944575991857</v>
      </c>
      <c r="CX65" s="14">
        <v>9.4547215647700007</v>
      </c>
      <c r="CY65" s="14">
        <v>11.102116505460003</v>
      </c>
      <c r="CZ65" s="14">
        <v>11.771582666650005</v>
      </c>
      <c r="DA65" s="14">
        <v>10.443789861440001</v>
      </c>
      <c r="DB65" s="14">
        <v>9.8432626693949992</v>
      </c>
      <c r="DC65" s="14">
        <v>17.128592503199997</v>
      </c>
      <c r="DD65" s="14">
        <v>17.345522938872218</v>
      </c>
      <c r="DE65" s="14">
        <v>18.345447281990001</v>
      </c>
      <c r="DF65" s="14">
        <v>18.469778665349995</v>
      </c>
      <c r="DG65" s="14">
        <v>18.543795904218889</v>
      </c>
    </row>
    <row r="66" spans="1:111" x14ac:dyDescent="0.3">
      <c r="A66" s="19" t="s">
        <v>49</v>
      </c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>
        <v>0</v>
      </c>
      <c r="AE66" s="14">
        <v>0</v>
      </c>
      <c r="AF66" s="14">
        <v>0</v>
      </c>
      <c r="AG66" s="14">
        <v>0</v>
      </c>
      <c r="AH66" s="14">
        <v>0</v>
      </c>
      <c r="AI66" s="14">
        <v>0</v>
      </c>
      <c r="AJ66" s="14">
        <v>0</v>
      </c>
      <c r="AK66" s="14">
        <v>0</v>
      </c>
      <c r="AL66" s="14">
        <v>0</v>
      </c>
      <c r="AM66" s="14">
        <v>0</v>
      </c>
      <c r="AN66" s="14">
        <v>0</v>
      </c>
      <c r="AO66" s="14">
        <v>0</v>
      </c>
      <c r="AP66" s="14">
        <v>0</v>
      </c>
      <c r="AQ66" s="14">
        <v>0</v>
      </c>
      <c r="AR66" s="14">
        <v>0</v>
      </c>
      <c r="AS66" s="14">
        <v>0</v>
      </c>
      <c r="AT66" s="14">
        <v>0</v>
      </c>
      <c r="AU66" s="14">
        <v>0</v>
      </c>
      <c r="AV66" s="14">
        <v>0.47752798943775054</v>
      </c>
      <c r="AW66" s="14">
        <v>0.65131858470605819</v>
      </c>
      <c r="AX66" s="14">
        <v>0.98518922902263117</v>
      </c>
      <c r="AY66" s="14">
        <v>1.3437370552251569</v>
      </c>
      <c r="AZ66" s="14">
        <v>1.8327740705980644</v>
      </c>
      <c r="BA66" s="14">
        <v>2.4997902534538303</v>
      </c>
      <c r="BB66" s="14">
        <v>3.4095589912092277</v>
      </c>
      <c r="BC66" s="14">
        <v>4.6504271702291415</v>
      </c>
      <c r="BD66" s="14">
        <v>6.7219029500000005</v>
      </c>
      <c r="BE66" s="14">
        <v>9.9544244100000014</v>
      </c>
      <c r="BF66" s="14">
        <v>9.1675636100000002</v>
      </c>
      <c r="BG66" s="14">
        <v>12.508037340000001</v>
      </c>
      <c r="BH66" s="14">
        <v>4.1996323999999996</v>
      </c>
      <c r="BI66" s="14">
        <v>8.7809843399999998</v>
      </c>
      <c r="BJ66" s="14">
        <v>8.8623279999999998</v>
      </c>
      <c r="BK66" s="14">
        <v>11.59564759</v>
      </c>
      <c r="BL66" s="14">
        <v>5.3823150903200006</v>
      </c>
      <c r="BM66" s="14">
        <v>8.87729443944</v>
      </c>
      <c r="BN66" s="14">
        <v>9.6324681703437598</v>
      </c>
      <c r="BO66" s="14">
        <v>11.397633916338322</v>
      </c>
      <c r="BP66" s="14">
        <v>8.9112772017698827</v>
      </c>
      <c r="BQ66" s="14">
        <v>11.996001843980142</v>
      </c>
      <c r="BR66" s="14">
        <v>11.578849831461083</v>
      </c>
      <c r="BS66" s="14">
        <v>6.2138652437303392</v>
      </c>
      <c r="BT66" s="14">
        <v>9.4564013417599995</v>
      </c>
      <c r="BU66" s="14">
        <v>10.0354998373</v>
      </c>
      <c r="BV66" s="14">
        <v>10.341639842460001</v>
      </c>
      <c r="BW66" s="14">
        <v>12.635873569320001</v>
      </c>
      <c r="BX66" s="14">
        <v>12.022004070000001</v>
      </c>
      <c r="BY66" s="14">
        <v>10.03228318</v>
      </c>
      <c r="BZ66" s="14">
        <v>9.2947810299999993</v>
      </c>
      <c r="CA66" s="14">
        <v>9.7289569599999997</v>
      </c>
      <c r="CB66" s="14">
        <v>7.6713061299999925</v>
      </c>
      <c r="CC66" s="14">
        <v>7.6836284200000042</v>
      </c>
      <c r="CD66" s="14">
        <v>5.5590288099999956</v>
      </c>
      <c r="CE66" s="14">
        <v>6.6148121900000003</v>
      </c>
      <c r="CF66" s="14">
        <v>8.3605835200000023</v>
      </c>
      <c r="CG66" s="14">
        <v>10.015752029999998</v>
      </c>
      <c r="CH66" s="14">
        <v>8.9254404800000025</v>
      </c>
      <c r="CI66" s="14">
        <v>10.622319579999996</v>
      </c>
      <c r="CJ66" s="14">
        <v>9.481444469999996</v>
      </c>
      <c r="CK66" s="14">
        <v>10.86777682</v>
      </c>
      <c r="CL66" s="14">
        <v>7.4050922656799987</v>
      </c>
      <c r="CM66" s="14">
        <v>6.2586208801000005</v>
      </c>
      <c r="CN66" s="14">
        <v>6.7149247258499987</v>
      </c>
      <c r="CO66" s="14">
        <v>15.489547184700005</v>
      </c>
      <c r="CP66" s="14">
        <v>7.9047158559799975</v>
      </c>
      <c r="CQ66" s="14">
        <v>7.1683459618099992</v>
      </c>
      <c r="CR66" s="14">
        <v>11.664621858679999</v>
      </c>
      <c r="CS66" s="14">
        <v>15.172249200800007</v>
      </c>
      <c r="CT66" s="14">
        <v>8.6077507134199998</v>
      </c>
      <c r="CU66" s="14">
        <v>8.9375565703799964</v>
      </c>
      <c r="CV66" s="14">
        <v>9.3428896151759648</v>
      </c>
      <c r="CW66" s="14">
        <v>13.487981461055384</v>
      </c>
      <c r="CX66" s="14">
        <v>10.021806494970001</v>
      </c>
      <c r="CY66" s="14">
        <v>9.2524068089</v>
      </c>
      <c r="CZ66" s="14">
        <v>8.6028957708300009</v>
      </c>
      <c r="DA66" s="14">
        <v>9.1033462921199995</v>
      </c>
      <c r="DB66" s="14">
        <v>8.6995241962950018</v>
      </c>
      <c r="DC66" s="14">
        <v>14.005413145999999</v>
      </c>
      <c r="DD66" s="14">
        <v>13.643402263458519</v>
      </c>
      <c r="DE66" s="14">
        <v>10.149081433629997</v>
      </c>
      <c r="DF66" s="14">
        <v>9.3148955659500015</v>
      </c>
      <c r="DG66" s="14">
        <v>9.0687763228477785</v>
      </c>
    </row>
    <row r="67" spans="1:111" x14ac:dyDescent="0.3">
      <c r="A67" s="19" t="s">
        <v>50</v>
      </c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>
        <v>0</v>
      </c>
      <c r="AE67" s="14">
        <v>0</v>
      </c>
      <c r="AF67" s="14">
        <v>0</v>
      </c>
      <c r="AG67" s="14">
        <v>0</v>
      </c>
      <c r="AH67" s="14">
        <v>0</v>
      </c>
      <c r="AI67" s="14">
        <v>0</v>
      </c>
      <c r="AJ67" s="14">
        <v>0</v>
      </c>
      <c r="AK67" s="14">
        <v>0</v>
      </c>
      <c r="AL67" s="14">
        <v>0</v>
      </c>
      <c r="AM67" s="14">
        <v>0</v>
      </c>
      <c r="AN67" s="14">
        <v>0</v>
      </c>
      <c r="AO67" s="14">
        <v>0</v>
      </c>
      <c r="AP67" s="14">
        <v>0</v>
      </c>
      <c r="AQ67" s="14">
        <v>0</v>
      </c>
      <c r="AR67" s="14">
        <v>0</v>
      </c>
      <c r="AS67" s="14">
        <v>0</v>
      </c>
      <c r="AT67" s="14">
        <v>0</v>
      </c>
      <c r="AU67" s="14">
        <v>0</v>
      </c>
      <c r="AV67" s="14">
        <v>1.0657166691521207</v>
      </c>
      <c r="AW67" s="14">
        <v>1.4535714931957884</v>
      </c>
      <c r="AX67" s="14">
        <v>2.1986828141210162</v>
      </c>
      <c r="AY67" s="14">
        <v>2.9988671038883918</v>
      </c>
      <c r="AZ67" s="14">
        <v>4.0902688869104695</v>
      </c>
      <c r="BA67" s="14">
        <v>5.5788732836926895</v>
      </c>
      <c r="BB67" s="14">
        <v>7.6092374306005652</v>
      </c>
      <c r="BC67" s="14">
        <v>10.378528303286359</v>
      </c>
      <c r="BD67" s="14">
        <v>8.3371655800000006</v>
      </c>
      <c r="BE67" s="14">
        <v>12.002875629999998</v>
      </c>
      <c r="BF67" s="14">
        <v>17.954285400000003</v>
      </c>
      <c r="BG67" s="14">
        <v>34.390522789999999</v>
      </c>
      <c r="BH67" s="14">
        <v>11.87434041</v>
      </c>
      <c r="BI67" s="14">
        <v>24.791859619999997</v>
      </c>
      <c r="BJ67" s="14">
        <v>34.831832419999998</v>
      </c>
      <c r="BK67" s="14">
        <v>46.08036242</v>
      </c>
      <c r="BL67" s="14">
        <v>42.884639830199994</v>
      </c>
      <c r="BM67" s="14">
        <v>35.799164638159986</v>
      </c>
      <c r="BN67" s="14">
        <v>67.937789045064164</v>
      </c>
      <c r="BO67" s="14">
        <v>161.8630424484943</v>
      </c>
      <c r="BP67" s="14">
        <v>107.24465855898117</v>
      </c>
      <c r="BQ67" s="14">
        <v>95.889132865259555</v>
      </c>
      <c r="BR67" s="14">
        <v>98.507993008100598</v>
      </c>
      <c r="BS67" s="14">
        <v>109.53663753896062</v>
      </c>
      <c r="BT67" s="14">
        <v>132.61246275360006</v>
      </c>
      <c r="BU67" s="14">
        <v>156.48447593645011</v>
      </c>
      <c r="BV67" s="14">
        <v>130.76648912659033</v>
      </c>
      <c r="BW67" s="14">
        <v>177.90169463501007</v>
      </c>
      <c r="BX67" s="14">
        <v>114.89444814999999</v>
      </c>
      <c r="BY67" s="14">
        <v>73.515649619999607</v>
      </c>
      <c r="BZ67" s="14">
        <v>81.323904289999504</v>
      </c>
      <c r="CA67" s="14">
        <v>87.64789451</v>
      </c>
      <c r="CB67" s="14">
        <v>54.72581492999926</v>
      </c>
      <c r="CC67" s="14">
        <v>54.30320141030974</v>
      </c>
      <c r="CD67" s="14">
        <v>67.225387219999547</v>
      </c>
      <c r="CE67" s="14">
        <v>51.884307080001577</v>
      </c>
      <c r="CF67" s="14">
        <v>57.342089939999724</v>
      </c>
      <c r="CG67" s="14">
        <v>64.57293171999936</v>
      </c>
      <c r="CH67" s="14">
        <v>66.679845520000427</v>
      </c>
      <c r="CI67" s="14">
        <v>74.794184925501142</v>
      </c>
      <c r="CJ67" s="14">
        <v>60.22072521000031</v>
      </c>
      <c r="CK67" s="14">
        <v>58.493543390000539</v>
      </c>
      <c r="CL67" s="14">
        <v>68.568879692534907</v>
      </c>
      <c r="CM67" s="14">
        <v>62.034693909500881</v>
      </c>
      <c r="CN67" s="14">
        <v>50.86481623368001</v>
      </c>
      <c r="CO67" s="14">
        <v>50.986568426889995</v>
      </c>
      <c r="CP67" s="14">
        <v>57.958060681720028</v>
      </c>
      <c r="CQ67" s="14">
        <v>74.421342911339934</v>
      </c>
      <c r="CR67" s="14">
        <v>58.921878078389945</v>
      </c>
      <c r="CS67" s="14">
        <v>70.016455722329979</v>
      </c>
      <c r="CT67" s="14">
        <v>60.307921152609985</v>
      </c>
      <c r="CU67" s="14">
        <v>59.27222902842</v>
      </c>
      <c r="CV67" s="14">
        <v>66.404456225770929</v>
      </c>
      <c r="CW67" s="14">
        <v>64.922529669446192</v>
      </c>
      <c r="CX67" s="14">
        <v>63.916880316820027</v>
      </c>
      <c r="CY67" s="14">
        <v>85.206313196320053</v>
      </c>
      <c r="CZ67" s="14">
        <v>76.496574987810021</v>
      </c>
      <c r="DA67" s="14">
        <v>79.005697371240004</v>
      </c>
      <c r="DB67" s="14">
        <v>93.945365233619967</v>
      </c>
      <c r="DC67" s="14">
        <v>99.853779960790163</v>
      </c>
      <c r="DD67" s="14">
        <v>103.8448688945661</v>
      </c>
      <c r="DE67" s="14">
        <v>83.834629977500015</v>
      </c>
      <c r="DF67" s="14">
        <v>81.77358625011999</v>
      </c>
      <c r="DG67" s="14">
        <v>80.682535014708151</v>
      </c>
    </row>
    <row r="68" spans="1:111" x14ac:dyDescent="0.3">
      <c r="A68" s="19" t="s">
        <v>51</v>
      </c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>
        <v>0</v>
      </c>
      <c r="AE68" s="14">
        <v>0</v>
      </c>
      <c r="AF68" s="14">
        <v>0</v>
      </c>
      <c r="AG68" s="14">
        <v>0</v>
      </c>
      <c r="AH68" s="14">
        <v>0</v>
      </c>
      <c r="AI68" s="14">
        <v>0</v>
      </c>
      <c r="AJ68" s="14">
        <v>0</v>
      </c>
      <c r="AK68" s="14">
        <v>0</v>
      </c>
      <c r="AL68" s="14">
        <v>0</v>
      </c>
      <c r="AM68" s="14">
        <v>0</v>
      </c>
      <c r="AN68" s="14">
        <v>0</v>
      </c>
      <c r="AO68" s="14">
        <v>0</v>
      </c>
      <c r="AP68" s="14">
        <v>0</v>
      </c>
      <c r="AQ68" s="14">
        <v>0</v>
      </c>
      <c r="AR68" s="14">
        <v>0</v>
      </c>
      <c r="AS68" s="14">
        <v>0</v>
      </c>
      <c r="AT68" s="14">
        <v>0</v>
      </c>
      <c r="AU68" s="14">
        <v>0</v>
      </c>
      <c r="AV68" s="14">
        <v>9.251289068912991E-3</v>
      </c>
      <c r="AW68" s="14">
        <v>1.2618184978362429E-2</v>
      </c>
      <c r="AX68" s="14">
        <v>1.908635838498007E-2</v>
      </c>
      <c r="AY68" s="14">
        <v>2.6032610036397334E-2</v>
      </c>
      <c r="AZ68" s="14">
        <v>3.5506866822769392E-2</v>
      </c>
      <c r="BA68" s="14">
        <v>4.8429165950213571E-2</v>
      </c>
      <c r="BB68" s="14">
        <v>6.6054381152248196E-2</v>
      </c>
      <c r="BC68" s="14">
        <v>9.0094082435612149E-2</v>
      </c>
      <c r="BD68" s="14">
        <v>0.17480875999999998</v>
      </c>
      <c r="BE68" s="14">
        <v>0.22588730000000001</v>
      </c>
      <c r="BF68" s="14">
        <v>0.17889638999999999</v>
      </c>
      <c r="BG68" s="14">
        <v>0.11532564000000001</v>
      </c>
      <c r="BH68" s="14">
        <v>0.39159557</v>
      </c>
      <c r="BI68" s="14">
        <v>0.22999441999999998</v>
      </c>
      <c r="BJ68" s="14">
        <v>0.22062683999999999</v>
      </c>
      <c r="BK68" s="14">
        <v>0.19374537</v>
      </c>
      <c r="BL68" s="14">
        <v>0.90208323940000001</v>
      </c>
      <c r="BM68" s="14">
        <v>0.10116155028000001</v>
      </c>
      <c r="BN68" s="14">
        <v>2.9368258345409197</v>
      </c>
      <c r="BO68" s="14">
        <v>0.47141564064560004</v>
      </c>
      <c r="BP68" s="14">
        <v>0.43416278283714016</v>
      </c>
      <c r="BQ68" s="14">
        <v>0.32337523658089978</v>
      </c>
      <c r="BR68" s="14">
        <v>0.29347488569252</v>
      </c>
      <c r="BS68" s="14">
        <v>0.45389253057806001</v>
      </c>
      <c r="BT68" s="14">
        <v>0.51590357971</v>
      </c>
      <c r="BU68" s="14">
        <v>0.72789183643000011</v>
      </c>
      <c r="BV68" s="14">
        <v>0.51669845779000012</v>
      </c>
      <c r="BW68" s="14">
        <v>0.59507077281999987</v>
      </c>
      <c r="BX68" s="14">
        <v>0.55077558000000004</v>
      </c>
      <c r="BY68" s="14">
        <v>0.26345838000000005</v>
      </c>
      <c r="BZ68" s="14">
        <v>9.7487500000000005E-3</v>
      </c>
      <c r="CA68" s="14">
        <v>0.43333446999999997</v>
      </c>
      <c r="CB68" s="14">
        <v>0.44193571999999981</v>
      </c>
      <c r="CC68" s="14">
        <v>0.33072440999999991</v>
      </c>
      <c r="CD68" s="14">
        <v>0.34273300999999973</v>
      </c>
      <c r="CE68" s="14">
        <v>0.41848877999999989</v>
      </c>
      <c r="CF68" s="14">
        <v>0.59686868000000048</v>
      </c>
      <c r="CG68" s="14">
        <v>0.46316138000000007</v>
      </c>
      <c r="CH68" s="14">
        <v>0.55491599999999996</v>
      </c>
      <c r="CI68" s="14">
        <v>0.3314888800000001</v>
      </c>
      <c r="CJ68" s="14">
        <v>0.23819536000000016</v>
      </c>
      <c r="CK68" s="14">
        <v>0.34348529999999994</v>
      </c>
      <c r="CL68" s="14">
        <v>0.18960674921999987</v>
      </c>
      <c r="CM68" s="14">
        <v>0.26014035199999991</v>
      </c>
      <c r="CN68" s="14">
        <v>0.38851237128999994</v>
      </c>
      <c r="CO68" s="14">
        <v>0.26580224994000001</v>
      </c>
      <c r="CP68" s="14">
        <v>0.34209924495999999</v>
      </c>
      <c r="CQ68" s="14">
        <v>0.65036488353999999</v>
      </c>
      <c r="CR68" s="14">
        <v>0.19045521426000001</v>
      </c>
      <c r="CS68" s="14">
        <v>0.18582280422000005</v>
      </c>
      <c r="CT68" s="14">
        <v>0.33590152169999998</v>
      </c>
      <c r="CU68" s="14">
        <v>0.43534707581999998</v>
      </c>
      <c r="CV68" s="14">
        <v>0.41087794699476526</v>
      </c>
      <c r="CW68" s="14">
        <v>0.18367226830868508</v>
      </c>
      <c r="CX68" s="14">
        <v>0.35280787441000006</v>
      </c>
      <c r="CY68" s="14">
        <v>0.42401054917999964</v>
      </c>
      <c r="CZ68" s="14">
        <v>3.3129070469999994E-2</v>
      </c>
      <c r="DA68" s="14">
        <v>8.5237605960000004E-2</v>
      </c>
      <c r="DB68" s="14">
        <v>0.13951175713499997</v>
      </c>
      <c r="DC68" s="14">
        <v>0.52308764577</v>
      </c>
      <c r="DD68" s="14">
        <v>0.57736304052777776</v>
      </c>
      <c r="DE68" s="14">
        <v>0.25498498259000002</v>
      </c>
      <c r="DF68" s="14">
        <v>0.7493384207099999</v>
      </c>
      <c r="DG68" s="14">
        <v>0.65966860866888888</v>
      </c>
    </row>
    <row r="69" spans="1:111" x14ac:dyDescent="0.3">
      <c r="A69" s="1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</row>
    <row r="70" spans="1:111" x14ac:dyDescent="0.3">
      <c r="A70" s="26" t="s">
        <v>52</v>
      </c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>
        <v>0</v>
      </c>
      <c r="AE70" s="9">
        <v>0</v>
      </c>
      <c r="AF70" s="9">
        <v>0</v>
      </c>
      <c r="AG70" s="9">
        <v>0</v>
      </c>
      <c r="AH70" s="9">
        <v>0</v>
      </c>
      <c r="AI70" s="9">
        <v>0</v>
      </c>
      <c r="AJ70" s="9">
        <v>0</v>
      </c>
      <c r="AK70" s="9">
        <v>0</v>
      </c>
      <c r="AL70" s="9">
        <v>0</v>
      </c>
      <c r="AM70" s="9">
        <v>0</v>
      </c>
      <c r="AN70" s="9">
        <v>0</v>
      </c>
      <c r="AO70" s="9">
        <v>0</v>
      </c>
      <c r="AP70" s="9">
        <v>0</v>
      </c>
      <c r="AQ70" s="9">
        <v>0</v>
      </c>
      <c r="AR70" s="9">
        <v>0</v>
      </c>
      <c r="AS70" s="9">
        <v>0</v>
      </c>
      <c r="AT70" s="9">
        <v>0</v>
      </c>
      <c r="AU70" s="9">
        <v>0</v>
      </c>
      <c r="AV70" s="9">
        <v>2.2146375316146876</v>
      </c>
      <c r="AW70" s="9">
        <v>3.0206283498199622</v>
      </c>
      <c r="AX70" s="9">
        <v>4.5690244144746126</v>
      </c>
      <c r="AY70" s="9">
        <v>6.2318661543313807</v>
      </c>
      <c r="AZ70" s="9">
        <v>8.4998792395305554</v>
      </c>
      <c r="BA70" s="9">
        <v>11.593308536703319</v>
      </c>
      <c r="BB70" s="9">
        <v>15.812554395140001</v>
      </c>
      <c r="BC70" s="9">
        <v>21.56734427516254</v>
      </c>
      <c r="BD70" s="9">
        <v>28.589745969999996</v>
      </c>
      <c r="BE70" s="9">
        <v>42.630319270000001</v>
      </c>
      <c r="BF70" s="9">
        <v>35.319995969999994</v>
      </c>
      <c r="BG70" s="9">
        <v>55.414807670000002</v>
      </c>
      <c r="BH70" s="9">
        <v>27.27584263</v>
      </c>
      <c r="BI70" s="9">
        <v>49.080488450000004</v>
      </c>
      <c r="BJ70" s="9">
        <v>57.964455239999999</v>
      </c>
      <c r="BK70" s="9">
        <v>63.981655419999996</v>
      </c>
      <c r="BL70" s="9">
        <v>65.690374926119986</v>
      </c>
      <c r="BM70" s="9">
        <v>46.871415610879993</v>
      </c>
      <c r="BN70" s="9">
        <v>90.113688507441523</v>
      </c>
      <c r="BO70" s="9">
        <v>192.90227920853266</v>
      </c>
      <c r="BP70" s="9">
        <v>131.91622917357401</v>
      </c>
      <c r="BQ70" s="9">
        <v>128.32611659843189</v>
      </c>
      <c r="BR70" s="9">
        <v>120.81500397174557</v>
      </c>
      <c r="BS70" s="9">
        <v>134.32738109496631</v>
      </c>
      <c r="BT70" s="9">
        <v>164.00506486164005</v>
      </c>
      <c r="BU70" s="9">
        <v>194.28110009270014</v>
      </c>
      <c r="BV70" s="9">
        <v>172.84269907444033</v>
      </c>
      <c r="BW70" s="9">
        <v>229.94576371990007</v>
      </c>
      <c r="BX70" s="9">
        <v>155.81016670999998</v>
      </c>
      <c r="BY70" s="9">
        <v>101.50259510999962</v>
      </c>
      <c r="BZ70" s="9">
        <v>109.62000678999948</v>
      </c>
      <c r="CA70" s="9">
        <v>120.32598643999998</v>
      </c>
      <c r="CB70" s="9">
        <v>77.432118899999267</v>
      </c>
      <c r="CC70" s="9">
        <v>76.601442910309743</v>
      </c>
      <c r="CD70" s="9">
        <v>93.008098449999551</v>
      </c>
      <c r="CE70" s="9">
        <v>81.266248830001587</v>
      </c>
      <c r="CF70" s="9">
        <v>85.044362579999699</v>
      </c>
      <c r="CG70" s="9">
        <v>93.465168089999352</v>
      </c>
      <c r="CH70" s="9">
        <v>104.04065330000046</v>
      </c>
      <c r="CI70" s="9">
        <v>133.25149008550113</v>
      </c>
      <c r="CJ70" s="9">
        <v>102.24083316000034</v>
      </c>
      <c r="CK70" s="9">
        <v>89.118737290000539</v>
      </c>
      <c r="CL70" s="9">
        <v>99.387940104844859</v>
      </c>
      <c r="CM70" s="9">
        <v>96.501185119830865</v>
      </c>
      <c r="CN70" s="9">
        <v>78.825505118500004</v>
      </c>
      <c r="CO70" s="9">
        <v>85.092927967120005</v>
      </c>
      <c r="CP70" s="9">
        <v>91.281539132680024</v>
      </c>
      <c r="CQ70" s="9">
        <v>122.11314539768992</v>
      </c>
      <c r="CR70" s="9">
        <v>86.236840879969947</v>
      </c>
      <c r="CS70" s="9">
        <v>97.040426672579997</v>
      </c>
      <c r="CT70" s="9">
        <v>87.763216225329984</v>
      </c>
      <c r="CU70" s="9">
        <v>83.70290684007999</v>
      </c>
      <c r="CV70" s="9">
        <v>94.166936830146412</v>
      </c>
      <c r="CW70" s="9">
        <v>83.688971734068488</v>
      </c>
      <c r="CX70" s="9">
        <v>83.126967649360026</v>
      </c>
      <c r="CY70" s="9">
        <v>116.14798890898005</v>
      </c>
      <c r="CZ70" s="9">
        <v>126.28599539450005</v>
      </c>
      <c r="DA70" s="9">
        <v>123.22837361690009</v>
      </c>
      <c r="DB70" s="9">
        <v>116.81461934494499</v>
      </c>
      <c r="DC70" s="9">
        <v>144.38981611401019</v>
      </c>
      <c r="DD70" s="9">
        <v>148.55873287332463</v>
      </c>
      <c r="DE70" s="9">
        <v>132.77004257315002</v>
      </c>
      <c r="DF70" s="9">
        <v>114.16378737015998</v>
      </c>
      <c r="DG70" s="9">
        <v>112.74804816653705</v>
      </c>
    </row>
    <row r="71" spans="1:111" x14ac:dyDescent="0.3">
      <c r="CE71" s="2"/>
      <c r="CF71" s="2"/>
      <c r="CG71" s="2"/>
    </row>
    <row r="72" spans="1:111" x14ac:dyDescent="0.3">
      <c r="CE72" s="2"/>
      <c r="CF72" s="2"/>
      <c r="CG72" s="2"/>
    </row>
    <row r="73" spans="1:111" s="62" customFormat="1" x14ac:dyDescent="0.3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  <c r="BF73" s="27"/>
      <c r="BG73" s="27"/>
      <c r="BH73" s="27"/>
      <c r="BI73" s="27"/>
      <c r="BJ73" s="27"/>
      <c r="BK73" s="27"/>
      <c r="BL73" s="27"/>
      <c r="BM73" s="27"/>
      <c r="BN73" s="27"/>
      <c r="BO73" s="27"/>
      <c r="BP73" s="27"/>
      <c r="BQ73" s="27"/>
      <c r="BR73" s="27"/>
      <c r="BS73" s="27"/>
      <c r="BT73" s="27"/>
      <c r="BU73" s="27"/>
      <c r="BV73" s="27"/>
      <c r="BW73" s="27"/>
      <c r="BX73" s="27"/>
      <c r="BY73" s="27"/>
      <c r="BZ73" s="27"/>
      <c r="CA73" s="27"/>
      <c r="CB73" s="27"/>
      <c r="CC73" s="27"/>
      <c r="CD73" s="27"/>
      <c r="CE73" s="27"/>
      <c r="CF73" s="27"/>
      <c r="CG73" s="27"/>
    </row>
    <row r="76" spans="1:111" s="64" customFormat="1" ht="21" x14ac:dyDescent="0.4">
      <c r="A76" s="129" t="s">
        <v>80</v>
      </c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</row>
    <row r="77" spans="1:111" s="64" customFormat="1" ht="21" x14ac:dyDescent="0.4">
      <c r="A77" s="129" t="s">
        <v>113</v>
      </c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</row>
    <row r="78" spans="1:111" s="64" customFormat="1" x14ac:dyDescent="0.3">
      <c r="A78" s="65"/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</row>
    <row r="79" spans="1:111" s="69" customFormat="1" ht="15.75" customHeight="1" x14ac:dyDescent="0.3">
      <c r="A79" s="66"/>
      <c r="B79" s="66" t="s">
        <v>119</v>
      </c>
      <c r="C79" s="66"/>
      <c r="D79" s="67"/>
      <c r="E79" s="66" t="s">
        <v>120</v>
      </c>
      <c r="F79" s="66"/>
      <c r="G79" s="66"/>
      <c r="H79" s="67"/>
      <c r="I79" s="66" t="s">
        <v>121</v>
      </c>
      <c r="J79" s="66"/>
      <c r="K79" s="66"/>
      <c r="L79" s="67"/>
      <c r="M79" s="66" t="s">
        <v>122</v>
      </c>
      <c r="N79" s="66"/>
      <c r="O79" s="66"/>
      <c r="P79" s="67"/>
      <c r="Q79" s="66" t="s">
        <v>123</v>
      </c>
      <c r="R79" s="66"/>
      <c r="S79" s="66"/>
      <c r="T79" s="67"/>
      <c r="U79" s="66" t="s">
        <v>124</v>
      </c>
      <c r="V79" s="66"/>
      <c r="W79" s="66"/>
      <c r="X79" s="67"/>
      <c r="Y79" s="66" t="s">
        <v>125</v>
      </c>
      <c r="Z79" s="66"/>
      <c r="AA79" s="66"/>
      <c r="AB79" s="67"/>
      <c r="AC79" s="66" t="s">
        <v>126</v>
      </c>
      <c r="AD79" s="66"/>
      <c r="AE79" s="66"/>
      <c r="AF79" s="67"/>
      <c r="AG79" s="66" t="s">
        <v>127</v>
      </c>
      <c r="AH79" s="66"/>
      <c r="AI79" s="66"/>
      <c r="AJ79" s="67"/>
      <c r="AK79" s="66" t="s">
        <v>128</v>
      </c>
      <c r="AL79" s="66"/>
      <c r="AM79" s="66"/>
      <c r="AN79" s="67"/>
      <c r="AO79" s="66" t="s">
        <v>129</v>
      </c>
      <c r="AP79" s="66"/>
      <c r="AQ79" s="66"/>
      <c r="AR79" s="67"/>
      <c r="AS79" s="68">
        <v>2002</v>
      </c>
      <c r="AT79" s="66"/>
      <c r="AU79" s="66"/>
      <c r="AV79" s="67"/>
      <c r="AW79" s="68" t="s">
        <v>130</v>
      </c>
      <c r="AX79" s="66"/>
      <c r="AY79" s="66"/>
      <c r="AZ79" s="67"/>
      <c r="BA79" s="68" t="s">
        <v>131</v>
      </c>
      <c r="BB79" s="66"/>
      <c r="BC79" s="66"/>
      <c r="BD79" s="67"/>
      <c r="BE79" s="68" t="s">
        <v>132</v>
      </c>
      <c r="BF79" s="66"/>
      <c r="BG79" s="66"/>
      <c r="BH79" s="151" t="s">
        <v>133</v>
      </c>
      <c r="BI79" s="152"/>
      <c r="BJ79" s="152"/>
      <c r="BK79" s="152"/>
      <c r="BL79" s="154" t="s">
        <v>134</v>
      </c>
      <c r="BM79" s="155"/>
      <c r="BN79" s="155"/>
      <c r="BO79" s="155"/>
      <c r="BP79" s="151" t="s">
        <v>135</v>
      </c>
      <c r="BQ79" s="152"/>
      <c r="BR79" s="152"/>
      <c r="BS79" s="152"/>
      <c r="BT79" s="151" t="s">
        <v>136</v>
      </c>
      <c r="BU79" s="152"/>
      <c r="BV79" s="152"/>
      <c r="BW79" s="152"/>
      <c r="BX79" s="151" t="s">
        <v>137</v>
      </c>
      <c r="BY79" s="152"/>
      <c r="BZ79" s="152"/>
      <c r="CA79" s="152"/>
      <c r="CB79" s="151" t="s">
        <v>138</v>
      </c>
      <c r="CC79" s="152"/>
      <c r="CD79" s="152"/>
      <c r="CE79" s="152"/>
      <c r="CF79" s="151" t="s">
        <v>156</v>
      </c>
      <c r="CG79" s="152"/>
      <c r="CH79" s="152"/>
      <c r="CI79" s="153"/>
      <c r="CJ79" s="151" t="s">
        <v>161</v>
      </c>
      <c r="CK79" s="152"/>
      <c r="CL79" s="152"/>
      <c r="CM79" s="153"/>
      <c r="CN79" s="151" t="s">
        <v>195</v>
      </c>
      <c r="CO79" s="152"/>
      <c r="CP79" s="152"/>
      <c r="CQ79" s="153"/>
      <c r="CR79" s="151" t="s">
        <v>196</v>
      </c>
      <c r="CS79" s="152"/>
      <c r="CT79" s="152"/>
      <c r="CU79" s="153"/>
      <c r="CV79" s="151" t="s">
        <v>200</v>
      </c>
      <c r="CW79" s="152"/>
      <c r="CX79" s="152"/>
      <c r="CY79" s="153"/>
      <c r="CZ79" s="151" t="s">
        <v>202</v>
      </c>
      <c r="DA79" s="152"/>
      <c r="DB79" s="152"/>
      <c r="DC79" s="153"/>
      <c r="DD79" s="151" t="s">
        <v>204</v>
      </c>
      <c r="DE79" s="152"/>
      <c r="DF79" s="152"/>
      <c r="DG79" s="153"/>
    </row>
    <row r="80" spans="1:111" s="74" customFormat="1" ht="16.2" thickBot="1" x14ac:dyDescent="0.35">
      <c r="A80" s="70"/>
      <c r="B80" s="71" t="s">
        <v>55</v>
      </c>
      <c r="C80" s="71" t="s">
        <v>56</v>
      </c>
      <c r="D80" s="72" t="s">
        <v>53</v>
      </c>
      <c r="E80" s="71" t="s">
        <v>54</v>
      </c>
      <c r="F80" s="71" t="s">
        <v>55</v>
      </c>
      <c r="G80" s="71" t="s">
        <v>56</v>
      </c>
      <c r="H80" s="72" t="s">
        <v>53</v>
      </c>
      <c r="I80" s="71" t="s">
        <v>54</v>
      </c>
      <c r="J80" s="71" t="s">
        <v>55</v>
      </c>
      <c r="K80" s="71" t="s">
        <v>56</v>
      </c>
      <c r="L80" s="72" t="s">
        <v>53</v>
      </c>
      <c r="M80" s="71" t="s">
        <v>54</v>
      </c>
      <c r="N80" s="71" t="s">
        <v>55</v>
      </c>
      <c r="O80" s="71" t="s">
        <v>56</v>
      </c>
      <c r="P80" s="72" t="s">
        <v>53</v>
      </c>
      <c r="Q80" s="71" t="s">
        <v>54</v>
      </c>
      <c r="R80" s="71" t="s">
        <v>55</v>
      </c>
      <c r="S80" s="71" t="s">
        <v>56</v>
      </c>
      <c r="T80" s="72" t="s">
        <v>53</v>
      </c>
      <c r="U80" s="71" t="s">
        <v>54</v>
      </c>
      <c r="V80" s="71" t="s">
        <v>55</v>
      </c>
      <c r="W80" s="71" t="s">
        <v>56</v>
      </c>
      <c r="X80" s="72" t="s">
        <v>53</v>
      </c>
      <c r="Y80" s="71" t="s">
        <v>54</v>
      </c>
      <c r="Z80" s="71" t="s">
        <v>55</v>
      </c>
      <c r="AA80" s="71" t="s">
        <v>56</v>
      </c>
      <c r="AB80" s="72" t="s">
        <v>53</v>
      </c>
      <c r="AC80" s="71" t="s">
        <v>54</v>
      </c>
      <c r="AD80" s="71" t="s">
        <v>55</v>
      </c>
      <c r="AE80" s="71" t="s">
        <v>56</v>
      </c>
      <c r="AF80" s="72" t="s">
        <v>53</v>
      </c>
      <c r="AG80" s="71" t="s">
        <v>54</v>
      </c>
      <c r="AH80" s="71" t="s">
        <v>55</v>
      </c>
      <c r="AI80" s="71" t="s">
        <v>56</v>
      </c>
      <c r="AJ80" s="72" t="s">
        <v>53</v>
      </c>
      <c r="AK80" s="71" t="s">
        <v>54</v>
      </c>
      <c r="AL80" s="71" t="s">
        <v>55</v>
      </c>
      <c r="AM80" s="71" t="s">
        <v>56</v>
      </c>
      <c r="AN80" s="72" t="s">
        <v>53</v>
      </c>
      <c r="AO80" s="71" t="s">
        <v>54</v>
      </c>
      <c r="AP80" s="71" t="s">
        <v>55</v>
      </c>
      <c r="AQ80" s="71" t="s">
        <v>56</v>
      </c>
      <c r="AR80" s="72" t="s">
        <v>53</v>
      </c>
      <c r="AS80" s="71" t="s">
        <v>54</v>
      </c>
      <c r="AT80" s="71" t="s">
        <v>55</v>
      </c>
      <c r="AU80" s="71" t="s">
        <v>56</v>
      </c>
      <c r="AV80" s="72" t="s">
        <v>53</v>
      </c>
      <c r="AW80" s="71" t="s">
        <v>54</v>
      </c>
      <c r="AX80" s="71" t="s">
        <v>55</v>
      </c>
      <c r="AY80" s="71" t="s">
        <v>56</v>
      </c>
      <c r="AZ80" s="72" t="s">
        <v>53</v>
      </c>
      <c r="BA80" s="71" t="s">
        <v>54</v>
      </c>
      <c r="BB80" s="71" t="s">
        <v>55</v>
      </c>
      <c r="BC80" s="71" t="s">
        <v>56</v>
      </c>
      <c r="BD80" s="72" t="s">
        <v>53</v>
      </c>
      <c r="BE80" s="71" t="s">
        <v>54</v>
      </c>
      <c r="BF80" s="71" t="s">
        <v>55</v>
      </c>
      <c r="BG80" s="71" t="s">
        <v>56</v>
      </c>
      <c r="BH80" s="72" t="s">
        <v>53</v>
      </c>
      <c r="BI80" s="71" t="s">
        <v>54</v>
      </c>
      <c r="BJ80" s="71" t="s">
        <v>55</v>
      </c>
      <c r="BK80" s="71" t="s">
        <v>56</v>
      </c>
      <c r="BL80" s="72" t="s">
        <v>53</v>
      </c>
      <c r="BM80" s="71" t="s">
        <v>54</v>
      </c>
      <c r="BN80" s="71" t="s">
        <v>55</v>
      </c>
      <c r="BO80" s="71" t="s">
        <v>56</v>
      </c>
      <c r="BP80" s="72" t="s">
        <v>53</v>
      </c>
      <c r="BQ80" s="71" t="s">
        <v>54</v>
      </c>
      <c r="BR80" s="71" t="s">
        <v>55</v>
      </c>
      <c r="BS80" s="71" t="s">
        <v>56</v>
      </c>
      <c r="BT80" s="72" t="s">
        <v>53</v>
      </c>
      <c r="BU80" s="71" t="s">
        <v>54</v>
      </c>
      <c r="BV80" s="71" t="s">
        <v>55</v>
      </c>
      <c r="BW80" s="71" t="s">
        <v>56</v>
      </c>
      <c r="BX80" s="72" t="s">
        <v>53</v>
      </c>
      <c r="BY80" s="71" t="s">
        <v>54</v>
      </c>
      <c r="BZ80" s="71" t="s">
        <v>55</v>
      </c>
      <c r="CA80" s="71" t="s">
        <v>56</v>
      </c>
      <c r="CB80" s="72" t="s">
        <v>53</v>
      </c>
      <c r="CC80" s="71" t="s">
        <v>54</v>
      </c>
      <c r="CD80" s="71" t="s">
        <v>55</v>
      </c>
      <c r="CE80" s="71" t="s">
        <v>56</v>
      </c>
      <c r="CF80" s="72" t="s">
        <v>53</v>
      </c>
      <c r="CG80" s="71" t="s">
        <v>54</v>
      </c>
      <c r="CH80" s="71" t="s">
        <v>55</v>
      </c>
      <c r="CI80" s="73" t="s">
        <v>56</v>
      </c>
      <c r="CJ80" s="72" t="s">
        <v>53</v>
      </c>
      <c r="CK80" s="71" t="s">
        <v>54</v>
      </c>
      <c r="CL80" s="71" t="s">
        <v>55</v>
      </c>
      <c r="CM80" s="73" t="s">
        <v>56</v>
      </c>
      <c r="CN80" s="72" t="s">
        <v>53</v>
      </c>
      <c r="CO80" s="71" t="s">
        <v>54</v>
      </c>
      <c r="CP80" s="71" t="s">
        <v>55</v>
      </c>
      <c r="CQ80" s="73" t="s">
        <v>56</v>
      </c>
      <c r="CR80" s="72" t="s">
        <v>53</v>
      </c>
      <c r="CS80" s="71" t="s">
        <v>54</v>
      </c>
      <c r="CT80" s="71" t="s">
        <v>55</v>
      </c>
      <c r="CU80" s="73" t="s">
        <v>56</v>
      </c>
      <c r="CV80" s="72" t="s">
        <v>53</v>
      </c>
      <c r="CW80" s="71" t="s">
        <v>54</v>
      </c>
      <c r="CX80" s="71" t="s">
        <v>55</v>
      </c>
      <c r="CY80" s="73" t="s">
        <v>56</v>
      </c>
      <c r="CZ80" s="72" t="s">
        <v>53</v>
      </c>
      <c r="DA80" s="71" t="s">
        <v>54</v>
      </c>
      <c r="DB80" s="71" t="s">
        <v>55</v>
      </c>
      <c r="DC80" s="73" t="s">
        <v>56</v>
      </c>
      <c r="DD80" s="72" t="s">
        <v>53</v>
      </c>
      <c r="DE80" s="71" t="s">
        <v>54</v>
      </c>
      <c r="DF80" s="71" t="s">
        <v>55</v>
      </c>
      <c r="DG80" s="73" t="s">
        <v>56</v>
      </c>
    </row>
    <row r="81" spans="1:115" s="64" customFormat="1" ht="16.2" thickTop="1" x14ac:dyDescent="0.3">
      <c r="A81" s="65"/>
      <c r="B81" s="65"/>
      <c r="C81" s="65"/>
      <c r="D81" s="75"/>
      <c r="E81" s="65"/>
      <c r="F81" s="65"/>
      <c r="G81" s="65"/>
      <c r="H81" s="75"/>
      <c r="I81" s="65"/>
      <c r="J81" s="65"/>
      <c r="K81" s="65"/>
      <c r="L81" s="75"/>
      <c r="M81" s="65"/>
      <c r="N81" s="65"/>
      <c r="O81" s="65"/>
      <c r="P81" s="75"/>
      <c r="Q81" s="65"/>
      <c r="R81" s="65"/>
      <c r="S81" s="65"/>
      <c r="T81" s="75"/>
      <c r="U81" s="65"/>
      <c r="V81" s="65"/>
      <c r="W81" s="65"/>
      <c r="X81" s="75"/>
      <c r="Y81" s="65"/>
      <c r="Z81" s="65"/>
      <c r="AA81" s="65"/>
      <c r="AB81" s="75"/>
      <c r="AC81" s="65"/>
      <c r="AD81" s="65"/>
      <c r="AE81" s="65"/>
      <c r="AF81" s="75"/>
      <c r="AG81" s="65"/>
      <c r="AH81" s="65"/>
      <c r="AI81" s="65"/>
      <c r="AJ81" s="75"/>
      <c r="AK81" s="65"/>
      <c r="AL81" s="65"/>
      <c r="AM81" s="65"/>
      <c r="AN81" s="75"/>
      <c r="AO81" s="65"/>
      <c r="AP81" s="65"/>
      <c r="AQ81" s="65"/>
      <c r="AR81" s="76"/>
      <c r="AS81" s="77"/>
      <c r="AV81" s="76"/>
      <c r="AW81" s="77"/>
      <c r="AZ81" s="76"/>
      <c r="BD81" s="76"/>
      <c r="BH81" s="76"/>
      <c r="BI81" s="77"/>
      <c r="BJ81" s="77"/>
      <c r="BK81" s="77"/>
      <c r="BL81" s="76"/>
      <c r="BM81" s="77"/>
      <c r="BN81" s="77"/>
      <c r="BO81" s="77"/>
      <c r="BP81" s="76"/>
      <c r="BT81" s="76"/>
      <c r="BX81" s="76"/>
      <c r="CB81" s="76"/>
      <c r="CF81" s="76"/>
      <c r="CG81" s="77"/>
      <c r="CH81" s="77"/>
      <c r="CI81" s="78"/>
      <c r="CJ81" s="76"/>
      <c r="CK81" s="77"/>
      <c r="CL81" s="77"/>
      <c r="CM81" s="78"/>
      <c r="CN81" s="76"/>
      <c r="CO81" s="77"/>
      <c r="CP81" s="77"/>
      <c r="CQ81" s="78"/>
      <c r="CR81" s="76"/>
      <c r="CS81" s="77"/>
      <c r="CT81" s="77"/>
      <c r="CU81" s="78"/>
      <c r="CV81" s="76"/>
      <c r="CW81" s="77"/>
      <c r="CX81" s="77"/>
      <c r="CY81" s="78"/>
      <c r="CZ81" s="76"/>
      <c r="DA81" s="77"/>
      <c r="DB81" s="77"/>
      <c r="DC81" s="78"/>
      <c r="DD81" s="76"/>
      <c r="DE81" s="77"/>
      <c r="DF81" s="77"/>
      <c r="DG81" s="78"/>
    </row>
    <row r="82" spans="1:115" s="64" customFormat="1" x14ac:dyDescent="0.3">
      <c r="A82" s="33" t="s">
        <v>83</v>
      </c>
      <c r="B82" s="79">
        <v>572945</v>
      </c>
      <c r="C82" s="79">
        <v>504953</v>
      </c>
      <c r="D82" s="80">
        <v>675128</v>
      </c>
      <c r="E82" s="79">
        <v>416024</v>
      </c>
      <c r="F82" s="79">
        <v>434724</v>
      </c>
      <c r="G82" s="79">
        <v>453559</v>
      </c>
      <c r="H82" s="80">
        <v>523579</v>
      </c>
      <c r="I82" s="79">
        <v>605297</v>
      </c>
      <c r="J82" s="79">
        <v>506207</v>
      </c>
      <c r="K82" s="79">
        <v>267152</v>
      </c>
      <c r="L82" s="80">
        <v>883281</v>
      </c>
      <c r="M82" s="79">
        <v>939575</v>
      </c>
      <c r="N82" s="79">
        <v>914619</v>
      </c>
      <c r="O82" s="79">
        <v>563559</v>
      </c>
      <c r="P82" s="80">
        <v>873642</v>
      </c>
      <c r="Q82" s="79">
        <v>443446</v>
      </c>
      <c r="R82" s="79">
        <v>647174</v>
      </c>
      <c r="S82" s="79">
        <v>795502</v>
      </c>
      <c r="T82" s="80">
        <v>1513025</v>
      </c>
      <c r="U82" s="79">
        <v>860348</v>
      </c>
      <c r="V82" s="79">
        <v>979928</v>
      </c>
      <c r="W82" s="79">
        <v>1290986</v>
      </c>
      <c r="X82" s="80">
        <v>1384357</v>
      </c>
      <c r="Y82" s="79">
        <v>753245</v>
      </c>
      <c r="Z82" s="79">
        <v>808526</v>
      </c>
      <c r="AA82" s="79">
        <v>555914</v>
      </c>
      <c r="AB82" s="80">
        <v>861622</v>
      </c>
      <c r="AC82" s="79">
        <v>647897</v>
      </c>
      <c r="AD82" s="79">
        <v>966905</v>
      </c>
      <c r="AE82" s="79">
        <v>809588</v>
      </c>
      <c r="AF82" s="80">
        <v>1118763</v>
      </c>
      <c r="AG82" s="79">
        <v>854616</v>
      </c>
      <c r="AH82" s="79">
        <v>864692</v>
      </c>
      <c r="AI82" s="79">
        <v>1002716</v>
      </c>
      <c r="AJ82" s="80">
        <v>658706</v>
      </c>
      <c r="AK82" s="79">
        <v>512945</v>
      </c>
      <c r="AL82" s="79">
        <v>743560</v>
      </c>
      <c r="AM82" s="79">
        <v>599096</v>
      </c>
      <c r="AN82" s="80">
        <v>849003</v>
      </c>
      <c r="AO82" s="79">
        <v>647317</v>
      </c>
      <c r="AP82" s="79">
        <v>981099</v>
      </c>
      <c r="AQ82" s="79">
        <v>577290</v>
      </c>
      <c r="AR82" s="80">
        <v>813210</v>
      </c>
      <c r="AS82" s="81">
        <v>784172</v>
      </c>
      <c r="AT82" s="79">
        <v>972224</v>
      </c>
      <c r="AU82" s="79">
        <v>790251</v>
      </c>
      <c r="AV82" s="80">
        <v>693552</v>
      </c>
      <c r="AW82" s="81">
        <v>536476</v>
      </c>
      <c r="AX82" s="79">
        <v>662873</v>
      </c>
      <c r="AY82" s="79">
        <v>500301</v>
      </c>
      <c r="AZ82" s="82">
        <v>767072</v>
      </c>
      <c r="BA82" s="83">
        <v>622078</v>
      </c>
      <c r="BB82" s="83">
        <v>634951</v>
      </c>
      <c r="BC82" s="83">
        <v>604220</v>
      </c>
      <c r="BD82" s="82">
        <v>622076</v>
      </c>
      <c r="BE82" s="83">
        <v>659004</v>
      </c>
      <c r="BF82" s="83">
        <v>609748</v>
      </c>
      <c r="BG82" s="83">
        <v>484541</v>
      </c>
      <c r="BH82" s="82">
        <v>550566</v>
      </c>
      <c r="BI82" s="84">
        <v>457061</v>
      </c>
      <c r="BJ82" s="84">
        <v>510384</v>
      </c>
      <c r="BK82" s="84">
        <v>655008</v>
      </c>
      <c r="BL82" s="85">
        <v>803626</v>
      </c>
      <c r="BM82" s="86">
        <v>566505</v>
      </c>
      <c r="BN82" s="86">
        <v>679107</v>
      </c>
      <c r="BO82" s="86">
        <v>643959</v>
      </c>
      <c r="BP82" s="85">
        <v>958469</v>
      </c>
      <c r="BQ82" s="87">
        <v>746775</v>
      </c>
      <c r="BR82" s="87">
        <v>861207</v>
      </c>
      <c r="BS82" s="87">
        <v>745264</v>
      </c>
      <c r="BT82" s="85">
        <v>910145</v>
      </c>
      <c r="BU82" s="87">
        <v>680371</v>
      </c>
      <c r="BV82" s="87">
        <v>725190</v>
      </c>
      <c r="BW82" s="87">
        <v>706961</v>
      </c>
      <c r="BX82" s="85">
        <v>746496</v>
      </c>
      <c r="BY82" s="87">
        <v>564978</v>
      </c>
      <c r="BZ82" s="87">
        <v>653257</v>
      </c>
      <c r="CA82" s="87">
        <v>692485</v>
      </c>
      <c r="CB82" s="85">
        <v>632244</v>
      </c>
      <c r="CC82" s="87">
        <v>800755</v>
      </c>
      <c r="CD82" s="87">
        <v>1025524</v>
      </c>
      <c r="CE82" s="87">
        <v>684863</v>
      </c>
      <c r="CF82" s="85">
        <v>638373</v>
      </c>
      <c r="CG82" s="86">
        <v>668825</v>
      </c>
      <c r="CH82" s="88">
        <v>716483.23</v>
      </c>
      <c r="CI82" s="89">
        <v>642698</v>
      </c>
      <c r="CJ82" s="85">
        <v>1001596</v>
      </c>
      <c r="CK82" s="86">
        <v>1013678</v>
      </c>
      <c r="CL82" s="88">
        <v>937863</v>
      </c>
      <c r="CM82" s="89">
        <v>732601</v>
      </c>
      <c r="CN82" s="85">
        <v>1094774</v>
      </c>
      <c r="CO82" s="86">
        <v>887955</v>
      </c>
      <c r="CP82" s="88">
        <v>790260</v>
      </c>
      <c r="CQ82" s="89">
        <v>674189</v>
      </c>
      <c r="CR82" s="85">
        <v>913051</v>
      </c>
      <c r="CS82" s="86">
        <v>882000</v>
      </c>
      <c r="CT82" s="88">
        <v>1010000</v>
      </c>
      <c r="CU82" s="89">
        <v>815208</v>
      </c>
      <c r="CV82" s="85">
        <v>851670</v>
      </c>
      <c r="CW82" s="86">
        <v>879888</v>
      </c>
      <c r="CX82" s="88">
        <v>768491</v>
      </c>
      <c r="CY82" s="89">
        <v>1041956</v>
      </c>
      <c r="CZ82" s="86">
        <v>1212472</v>
      </c>
      <c r="DA82" s="86">
        <v>1165251</v>
      </c>
      <c r="DB82" s="86">
        <v>1187383</v>
      </c>
      <c r="DC82" s="89">
        <v>1210953</v>
      </c>
      <c r="DD82" s="86">
        <v>1125654</v>
      </c>
      <c r="DE82" s="86">
        <v>934568</v>
      </c>
      <c r="DF82" s="86">
        <v>1035173</v>
      </c>
      <c r="DG82" s="89">
        <v>1075122</v>
      </c>
      <c r="DH82" s="150"/>
      <c r="DI82" s="150"/>
      <c r="DJ82" s="150"/>
      <c r="DK82" s="150"/>
    </row>
    <row r="83" spans="1:115" s="64" customFormat="1" x14ac:dyDescent="0.3">
      <c r="A83" s="33" t="s">
        <v>85</v>
      </c>
      <c r="B83" s="79">
        <v>2993.8</v>
      </c>
      <c r="C83" s="79">
        <v>1018.6</v>
      </c>
      <c r="D83" s="80">
        <v>1755.28</v>
      </c>
      <c r="E83" s="79">
        <v>1699.56</v>
      </c>
      <c r="F83" s="79">
        <v>1343.5</v>
      </c>
      <c r="G83" s="79">
        <v>1302.585</v>
      </c>
      <c r="H83" s="80">
        <v>875.2</v>
      </c>
      <c r="I83" s="79">
        <v>1379.9</v>
      </c>
      <c r="J83" s="79">
        <v>1358.8000000000002</v>
      </c>
      <c r="K83" s="79">
        <v>4897</v>
      </c>
      <c r="L83" s="80">
        <v>1976.8400000000001</v>
      </c>
      <c r="M83" s="79">
        <v>6438</v>
      </c>
      <c r="N83" s="79">
        <v>700</v>
      </c>
      <c r="O83" s="79">
        <v>315</v>
      </c>
      <c r="P83" s="80">
        <v>1719</v>
      </c>
      <c r="Q83" s="79">
        <v>1350.29</v>
      </c>
      <c r="R83" s="79">
        <v>1078</v>
      </c>
      <c r="S83" s="79">
        <v>106.48648648648648</v>
      </c>
      <c r="T83" s="80">
        <v>8234.405405405405</v>
      </c>
      <c r="U83" s="79">
        <v>2675.68</v>
      </c>
      <c r="V83" s="79">
        <v>0</v>
      </c>
      <c r="W83" s="79">
        <v>718.27027027027032</v>
      </c>
      <c r="X83" s="80">
        <v>10132.162162162163</v>
      </c>
      <c r="Y83" s="79">
        <v>26097.405405405407</v>
      </c>
      <c r="Z83" s="79">
        <v>9746.6216216216217</v>
      </c>
      <c r="AA83" s="79">
        <v>7363.0756756756755</v>
      </c>
      <c r="AB83" s="80">
        <v>2270.7567567567567</v>
      </c>
      <c r="AC83" s="79">
        <v>8610.4864864864867</v>
      </c>
      <c r="AD83" s="79">
        <v>1474</v>
      </c>
      <c r="AE83" s="79">
        <v>0</v>
      </c>
      <c r="AF83" s="80">
        <v>33294</v>
      </c>
      <c r="AG83" s="79">
        <v>36470</v>
      </c>
      <c r="AH83" s="79">
        <v>5149.68</v>
      </c>
      <c r="AI83" s="79">
        <v>31.04</v>
      </c>
      <c r="AJ83" s="80">
        <v>42476.06</v>
      </c>
      <c r="AK83" s="79">
        <v>48280</v>
      </c>
      <c r="AL83" s="79">
        <v>472.86</v>
      </c>
      <c r="AM83" s="79">
        <v>160.28</v>
      </c>
      <c r="AN83" s="80">
        <v>32447</v>
      </c>
      <c r="AO83" s="79">
        <v>31954</v>
      </c>
      <c r="AP83" s="79">
        <v>7859</v>
      </c>
      <c r="AQ83" s="79" t="s">
        <v>93</v>
      </c>
      <c r="AR83" s="80">
        <v>53649</v>
      </c>
      <c r="AS83" s="81">
        <v>20672.7</v>
      </c>
      <c r="AT83" s="79">
        <v>1785.5</v>
      </c>
      <c r="AU83" s="79">
        <v>237.92000000000002</v>
      </c>
      <c r="AV83" s="80">
        <v>45293.303324324326</v>
      </c>
      <c r="AW83" s="81">
        <v>19445.783783783783</v>
      </c>
      <c r="AX83" s="79">
        <v>14640.324324324323</v>
      </c>
      <c r="AY83" s="79">
        <v>6030.7567567567567</v>
      </c>
      <c r="AZ83" s="82">
        <v>71106.216216216213</v>
      </c>
      <c r="BA83" s="83">
        <v>8846.09</v>
      </c>
      <c r="BB83" s="83">
        <v>17121.602162162162</v>
      </c>
      <c r="BC83" s="83">
        <v>5075.0810810810817</v>
      </c>
      <c r="BD83" s="82">
        <v>102909.67567567568</v>
      </c>
      <c r="BE83" s="83">
        <v>97062.5945945946</v>
      </c>
      <c r="BF83" s="83">
        <v>10561.189189189188</v>
      </c>
      <c r="BG83" s="83">
        <v>7296.491891891892</v>
      </c>
      <c r="BH83" s="82">
        <v>22152.27027027027</v>
      </c>
      <c r="BI83" s="84">
        <v>12759.054324324325</v>
      </c>
      <c r="BJ83" s="84">
        <v>831.81000000000006</v>
      </c>
      <c r="BK83" s="84">
        <v>746.17</v>
      </c>
      <c r="BL83" s="85">
        <v>7022.5599999999995</v>
      </c>
      <c r="BM83" s="86">
        <v>25498.104054054056</v>
      </c>
      <c r="BN83" s="86">
        <v>12699.72972972973</v>
      </c>
      <c r="BO83" s="86">
        <v>6373.45945945946</v>
      </c>
      <c r="BP83" s="85">
        <v>3785.65</v>
      </c>
      <c r="BQ83" s="87">
        <v>4409.82</v>
      </c>
      <c r="BR83" s="87">
        <v>4378.8108108108108</v>
      </c>
      <c r="BS83" s="87">
        <v>2128.864864864865</v>
      </c>
      <c r="BT83" s="85">
        <v>67633.4054054054</v>
      </c>
      <c r="BU83" s="87">
        <v>33630.054054054053</v>
      </c>
      <c r="BV83" s="87">
        <v>4977.72972972973</v>
      </c>
      <c r="BW83" s="87">
        <v>2431.2972972972975</v>
      </c>
      <c r="BX83" s="85">
        <v>2826.85</v>
      </c>
      <c r="BY83" s="87">
        <v>20053.38081081081</v>
      </c>
      <c r="BZ83" s="87">
        <v>3037.6756756756758</v>
      </c>
      <c r="CA83" s="87">
        <v>14383.675675675677</v>
      </c>
      <c r="CB83" s="85">
        <v>83382.16216216216</v>
      </c>
      <c r="CC83" s="87">
        <v>32512.756756756757</v>
      </c>
      <c r="CD83" s="87">
        <v>10706.594594594595</v>
      </c>
      <c r="CE83" s="87">
        <v>11699.35135135135</v>
      </c>
      <c r="CF83" s="85">
        <v>112945.97837837838</v>
      </c>
      <c r="CG83" s="86">
        <v>95420.610810810816</v>
      </c>
      <c r="CH83" s="88">
        <v>15768.972972972972</v>
      </c>
      <c r="CI83" s="89">
        <v>11051.851702335947</v>
      </c>
      <c r="CJ83" s="85">
        <v>41187.846486486487</v>
      </c>
      <c r="CK83" s="86">
        <v>42474.864864864867</v>
      </c>
      <c r="CL83" s="88">
        <v>4866.8108108108108</v>
      </c>
      <c r="CM83" s="89">
        <v>3989.8918918918921</v>
      </c>
      <c r="CN83" s="85">
        <v>2999.1891891891892</v>
      </c>
      <c r="CO83" s="86">
        <v>28650.54054054054</v>
      </c>
      <c r="CP83" s="88">
        <v>4506.8838648648652</v>
      </c>
      <c r="CQ83" s="89">
        <v>4514.0054054054053</v>
      </c>
      <c r="CR83" s="85">
        <v>35678.464864864865</v>
      </c>
      <c r="CS83" s="86">
        <v>13721.824945945948</v>
      </c>
      <c r="CT83" s="88">
        <v>8846.0648243243249</v>
      </c>
      <c r="CU83" s="89">
        <v>5265.4</v>
      </c>
      <c r="CV83" s="85">
        <v>31810.006486486491</v>
      </c>
      <c r="CW83" s="86">
        <v>48066.362162162157</v>
      </c>
      <c r="CX83" s="88">
        <v>26179.62162162162</v>
      </c>
      <c r="CY83" s="89">
        <v>20577.486486486487</v>
      </c>
      <c r="CZ83" s="86">
        <v>69010.745945945935</v>
      </c>
      <c r="DA83" s="86">
        <v>51774.17297297297</v>
      </c>
      <c r="DB83" s="86">
        <v>8900.2054054054061</v>
      </c>
      <c r="DC83" s="89">
        <v>42249.237837837834</v>
      </c>
      <c r="DD83" s="86">
        <v>64719.697297297302</v>
      </c>
      <c r="DE83" s="86">
        <v>25601.643243243245</v>
      </c>
      <c r="DF83" s="86">
        <v>25380.343621621621</v>
      </c>
      <c r="DG83" s="89">
        <v>33182.534</v>
      </c>
      <c r="DH83" s="150"/>
      <c r="DI83" s="150"/>
      <c r="DJ83" s="150"/>
      <c r="DK83" s="150"/>
    </row>
    <row r="84" spans="1:115" s="64" customFormat="1" x14ac:dyDescent="0.3">
      <c r="A84" s="33" t="s">
        <v>88</v>
      </c>
      <c r="B84" s="79">
        <v>1105.1599999999999</v>
      </c>
      <c r="C84" s="79">
        <v>1570.67</v>
      </c>
      <c r="D84" s="80">
        <v>1603.8</v>
      </c>
      <c r="E84" s="79">
        <v>1274.2</v>
      </c>
      <c r="F84" s="79">
        <v>1911.8999999999999</v>
      </c>
      <c r="G84" s="79">
        <v>1462.86</v>
      </c>
      <c r="H84" s="80">
        <v>2625.3999999999996</v>
      </c>
      <c r="I84" s="79">
        <v>2416.1999999999998</v>
      </c>
      <c r="J84" s="79">
        <v>2655.9</v>
      </c>
      <c r="K84" s="79">
        <v>2590.37</v>
      </c>
      <c r="L84" s="80">
        <v>2268.8000000000002</v>
      </c>
      <c r="M84" s="79">
        <v>3045.1299999999997</v>
      </c>
      <c r="N84" s="79">
        <v>2798.4</v>
      </c>
      <c r="O84" s="79">
        <v>3165.15</v>
      </c>
      <c r="P84" s="80">
        <v>2934.5299999999997</v>
      </c>
      <c r="Q84" s="79">
        <v>3151.0699999999997</v>
      </c>
      <c r="R84" s="79">
        <v>3377.09</v>
      </c>
      <c r="S84" s="79">
        <v>2220.0300000000002</v>
      </c>
      <c r="T84" s="80">
        <v>2838.85</v>
      </c>
      <c r="U84" s="79">
        <v>4172.59</v>
      </c>
      <c r="V84" s="79">
        <v>3068.09</v>
      </c>
      <c r="W84" s="79">
        <v>2632.76</v>
      </c>
      <c r="X84" s="80">
        <v>3850.16</v>
      </c>
      <c r="Y84" s="79">
        <v>4276.96</v>
      </c>
      <c r="Z84" s="79">
        <v>3438.0599999999995</v>
      </c>
      <c r="AA84" s="79">
        <v>4391.2700000000004</v>
      </c>
      <c r="AB84" s="80">
        <v>4048.75</v>
      </c>
      <c r="AC84" s="79">
        <v>6349.7599999999993</v>
      </c>
      <c r="AD84" s="79">
        <v>4790.29</v>
      </c>
      <c r="AE84" s="79">
        <v>6287.16</v>
      </c>
      <c r="AF84" s="80">
        <v>4908.1499999999996</v>
      </c>
      <c r="AG84" s="79">
        <v>6259.4700000000012</v>
      </c>
      <c r="AH84" s="79">
        <v>3447.2</v>
      </c>
      <c r="AI84" s="79">
        <v>7102.619999999999</v>
      </c>
      <c r="AJ84" s="80">
        <v>6024.6</v>
      </c>
      <c r="AK84" s="79">
        <v>6775</v>
      </c>
      <c r="AL84" s="79">
        <v>4681.7299999999996</v>
      </c>
      <c r="AM84" s="79">
        <v>7935.3600000000006</v>
      </c>
      <c r="AN84" s="80">
        <v>7389.84</v>
      </c>
      <c r="AO84" s="79">
        <v>7411.5199999999995</v>
      </c>
      <c r="AP84" s="79">
        <v>7049.25</v>
      </c>
      <c r="AQ84" s="79">
        <v>8390.73</v>
      </c>
      <c r="AR84" s="80">
        <v>6101.4</v>
      </c>
      <c r="AS84" s="81">
        <v>8050.5599999999995</v>
      </c>
      <c r="AT84" s="79">
        <v>6221.45</v>
      </c>
      <c r="AU84" s="79">
        <v>8379.0299999999988</v>
      </c>
      <c r="AV84" s="80">
        <v>7823.1</v>
      </c>
      <c r="AW84" s="81">
        <v>8813.9</v>
      </c>
      <c r="AX84" s="79">
        <v>12088.869999999999</v>
      </c>
      <c r="AY84" s="79">
        <v>8986.24</v>
      </c>
      <c r="AZ84" s="82">
        <v>8839.8900000000012</v>
      </c>
      <c r="BA84" s="83">
        <v>9805.68</v>
      </c>
      <c r="BB84" s="83">
        <v>6105.11</v>
      </c>
      <c r="BC84" s="83">
        <v>10683.39</v>
      </c>
      <c r="BD84" s="82">
        <v>6764.17</v>
      </c>
      <c r="BE84" s="83">
        <v>10455.77</v>
      </c>
      <c r="BF84" s="83">
        <v>9020</v>
      </c>
      <c r="BG84" s="83">
        <v>10365.040000000001</v>
      </c>
      <c r="BH84" s="82">
        <v>3953.88</v>
      </c>
      <c r="BI84" s="84">
        <v>3778.83</v>
      </c>
      <c r="BJ84" s="84">
        <v>8177.12</v>
      </c>
      <c r="BK84" s="84">
        <v>11157.3</v>
      </c>
      <c r="BL84" s="85">
        <v>10526.94</v>
      </c>
      <c r="BM84" s="86">
        <v>11253.86</v>
      </c>
      <c r="BN84" s="86">
        <v>10315.799999999999</v>
      </c>
      <c r="BO84" s="86">
        <v>12026.81</v>
      </c>
      <c r="BP84" s="85">
        <v>10037.84</v>
      </c>
      <c r="BQ84" s="87">
        <v>12049.130000000001</v>
      </c>
      <c r="BR84" s="87">
        <v>10564.220000000001</v>
      </c>
      <c r="BS84" s="87">
        <v>13393.06</v>
      </c>
      <c r="BT84" s="85">
        <v>11367.220000000001</v>
      </c>
      <c r="BU84" s="87">
        <v>12944.93</v>
      </c>
      <c r="BV84" s="87">
        <v>9819.41</v>
      </c>
      <c r="BW84" s="87">
        <v>14141.18</v>
      </c>
      <c r="BX84" s="85">
        <v>13034.65</v>
      </c>
      <c r="BY84" s="87">
        <v>15091.96</v>
      </c>
      <c r="BZ84" s="87">
        <v>11091.93</v>
      </c>
      <c r="CA84" s="87">
        <v>14466.55</v>
      </c>
      <c r="CB84" s="85">
        <v>11574.896999999999</v>
      </c>
      <c r="CC84" s="87">
        <v>14606.864999999998</v>
      </c>
      <c r="CD84" s="87">
        <v>13749.09</v>
      </c>
      <c r="CE84" s="87">
        <v>15447.460000000003</v>
      </c>
      <c r="CF84" s="85">
        <v>11078.625</v>
      </c>
      <c r="CG84" s="86">
        <v>14127.219999999998</v>
      </c>
      <c r="CH84" s="88">
        <v>14509.539999999999</v>
      </c>
      <c r="CI84" s="89">
        <v>15503.289999999999</v>
      </c>
      <c r="CJ84" s="85">
        <v>15526.55</v>
      </c>
      <c r="CK84" s="86">
        <v>17916.349999999999</v>
      </c>
      <c r="CL84" s="88">
        <v>10945</v>
      </c>
      <c r="CM84" s="89">
        <v>17092.46</v>
      </c>
      <c r="CN84" s="85">
        <v>12823.329999999998</v>
      </c>
      <c r="CO84" s="86">
        <v>18130.37</v>
      </c>
      <c r="CP84" s="88">
        <v>13717.861000000001</v>
      </c>
      <c r="CQ84" s="89">
        <v>15832.218000000001</v>
      </c>
      <c r="CR84" s="85">
        <v>9834.648000000001</v>
      </c>
      <c r="CS84" s="86">
        <v>14115.15</v>
      </c>
      <c r="CT84" s="88">
        <v>13584.707</v>
      </c>
      <c r="CU84" s="89">
        <v>13247.153</v>
      </c>
      <c r="CV84" s="85">
        <v>12324.274000000001</v>
      </c>
      <c r="CW84" s="86">
        <v>15832.863000000001</v>
      </c>
      <c r="CX84" s="88">
        <v>12635.797999999999</v>
      </c>
      <c r="CY84" s="89">
        <v>15823.716</v>
      </c>
      <c r="CZ84" s="86">
        <v>11018.458999999999</v>
      </c>
      <c r="DA84" s="86">
        <v>15155.876</v>
      </c>
      <c r="DB84" s="86">
        <v>12877.939999999999</v>
      </c>
      <c r="DC84" s="89">
        <v>20424.608</v>
      </c>
      <c r="DD84" s="86">
        <v>12899.200999999999</v>
      </c>
      <c r="DE84" s="86">
        <v>21379.794999999998</v>
      </c>
      <c r="DF84" s="86">
        <v>16588.575000000001</v>
      </c>
      <c r="DG84" s="89">
        <v>19494.431</v>
      </c>
      <c r="DH84" s="150"/>
      <c r="DI84" s="150"/>
      <c r="DJ84" s="150"/>
      <c r="DK84" s="150"/>
    </row>
    <row r="85" spans="1:115" s="64" customFormat="1" x14ac:dyDescent="0.3">
      <c r="A85" s="33" t="s">
        <v>90</v>
      </c>
      <c r="B85" s="79">
        <v>12.64</v>
      </c>
      <c r="C85" s="79">
        <v>754.23</v>
      </c>
      <c r="D85" s="80">
        <v>788.5</v>
      </c>
      <c r="E85" s="79">
        <v>88.6</v>
      </c>
      <c r="F85" s="79">
        <v>359.5</v>
      </c>
      <c r="G85" s="79">
        <v>965.77</v>
      </c>
      <c r="H85" s="80">
        <v>1246.8999999999999</v>
      </c>
      <c r="I85" s="79">
        <v>1168.5999999999999</v>
      </c>
      <c r="J85" s="79">
        <v>738</v>
      </c>
      <c r="K85" s="79">
        <v>758.74</v>
      </c>
      <c r="L85" s="80">
        <v>1303.19</v>
      </c>
      <c r="M85" s="79">
        <v>300.45000000000005</v>
      </c>
      <c r="N85" s="79">
        <v>332.4</v>
      </c>
      <c r="O85" s="79">
        <v>1399.89</v>
      </c>
      <c r="P85" s="80">
        <v>1312.64</v>
      </c>
      <c r="Q85" s="79">
        <v>892.99</v>
      </c>
      <c r="R85" s="79">
        <v>1280.75</v>
      </c>
      <c r="S85" s="79">
        <v>1638.16</v>
      </c>
      <c r="T85" s="80">
        <v>1058.99</v>
      </c>
      <c r="U85" s="79">
        <v>353.72999999999996</v>
      </c>
      <c r="V85" s="79">
        <v>452.71</v>
      </c>
      <c r="W85" s="79">
        <v>625.30999999999995</v>
      </c>
      <c r="X85" s="80">
        <v>2340.7600000000002</v>
      </c>
      <c r="Y85" s="79">
        <v>879.06</v>
      </c>
      <c r="Z85" s="79">
        <v>2187.0699999999997</v>
      </c>
      <c r="AA85" s="79">
        <v>3309.694</v>
      </c>
      <c r="AB85" s="80">
        <v>1090.25</v>
      </c>
      <c r="AC85" s="79">
        <v>1674.52</v>
      </c>
      <c r="AD85" s="79">
        <v>2118.46</v>
      </c>
      <c r="AE85" s="79">
        <v>3909</v>
      </c>
      <c r="AF85" s="80">
        <v>3384.3199999999997</v>
      </c>
      <c r="AG85" s="79">
        <v>1181.5999999999999</v>
      </c>
      <c r="AH85" s="79">
        <v>1416.48</v>
      </c>
      <c r="AI85" s="79">
        <v>1148.5999999999999</v>
      </c>
      <c r="AJ85" s="80">
        <v>3488.8199999999997</v>
      </c>
      <c r="AK85" s="79">
        <v>4255.3500000000004</v>
      </c>
      <c r="AL85" s="79">
        <v>777.63</v>
      </c>
      <c r="AM85" s="79">
        <v>3704.62</v>
      </c>
      <c r="AN85" s="80">
        <v>4252.3</v>
      </c>
      <c r="AO85" s="79">
        <v>4032.44</v>
      </c>
      <c r="AP85" s="79">
        <v>1989.83</v>
      </c>
      <c r="AQ85" s="79">
        <v>4187.93</v>
      </c>
      <c r="AR85" s="80">
        <v>6797.17</v>
      </c>
      <c r="AS85" s="81">
        <v>4632.17</v>
      </c>
      <c r="AT85" s="79">
        <v>2663.9500000000003</v>
      </c>
      <c r="AU85" s="79">
        <v>6074.94</v>
      </c>
      <c r="AV85" s="80">
        <v>9330.9600000000009</v>
      </c>
      <c r="AW85" s="81">
        <v>5407.73</v>
      </c>
      <c r="AX85" s="79">
        <v>6981.98</v>
      </c>
      <c r="AY85" s="79">
        <v>3774.1400000000003</v>
      </c>
      <c r="AZ85" s="82">
        <v>8905.880000000001</v>
      </c>
      <c r="BA85" s="83">
        <v>4251.6099999999997</v>
      </c>
      <c r="BB85" s="83">
        <v>9092.85</v>
      </c>
      <c r="BC85" s="83">
        <v>6472.58</v>
      </c>
      <c r="BD85" s="82">
        <v>6871.3700000000008</v>
      </c>
      <c r="BE85" s="83">
        <v>6195.36</v>
      </c>
      <c r="BF85" s="83">
        <v>5058.95</v>
      </c>
      <c r="BG85" s="83">
        <v>3503.1</v>
      </c>
      <c r="BH85" s="82">
        <v>4412.28</v>
      </c>
      <c r="BI85" s="84">
        <v>6250.9699999999993</v>
      </c>
      <c r="BJ85" s="84">
        <v>4694.2299999999996</v>
      </c>
      <c r="BK85" s="84">
        <v>1901.29</v>
      </c>
      <c r="BL85" s="85">
        <v>7243.91</v>
      </c>
      <c r="BM85" s="86">
        <v>5770.3099999999995</v>
      </c>
      <c r="BN85" s="86">
        <v>5530.5</v>
      </c>
      <c r="BO85" s="86">
        <v>8132.6399999999994</v>
      </c>
      <c r="BP85" s="85">
        <v>36093.009999999995</v>
      </c>
      <c r="BQ85" s="87">
        <v>49626.59</v>
      </c>
      <c r="BR85" s="87">
        <v>27282.760000000002</v>
      </c>
      <c r="BS85" s="87">
        <v>9229</v>
      </c>
      <c r="BT85" s="85">
        <v>4962.2</v>
      </c>
      <c r="BU85" s="87">
        <v>3965.54</v>
      </c>
      <c r="BV85" s="87">
        <v>11319.06</v>
      </c>
      <c r="BW85" s="87">
        <v>39587.858999999997</v>
      </c>
      <c r="BX85" s="85">
        <v>43717.599999999999</v>
      </c>
      <c r="BY85" s="87">
        <v>4803.5739999999996</v>
      </c>
      <c r="BZ85" s="87">
        <v>69953.98</v>
      </c>
      <c r="CA85" s="87">
        <v>6889.0700000000006</v>
      </c>
      <c r="CB85" s="85">
        <v>5652.9326500000006</v>
      </c>
      <c r="CC85" s="87">
        <v>3518.308</v>
      </c>
      <c r="CD85" s="87">
        <v>4361.76</v>
      </c>
      <c r="CE85" s="87">
        <v>5509.1900000000005</v>
      </c>
      <c r="CF85" s="85">
        <v>5617.5300000000007</v>
      </c>
      <c r="CG85" s="86">
        <v>4263.4879108299992</v>
      </c>
      <c r="CH85" s="88">
        <v>5394.3499999999995</v>
      </c>
      <c r="CI85" s="89">
        <v>3835.7856000000002</v>
      </c>
      <c r="CJ85" s="85">
        <v>5670.5</v>
      </c>
      <c r="CK85" s="86">
        <v>6306.5999999999995</v>
      </c>
      <c r="CL85" s="88">
        <v>7149.5344999999998</v>
      </c>
      <c r="CM85" s="89">
        <v>15606.379999999997</v>
      </c>
      <c r="CN85" s="85">
        <v>5978.57</v>
      </c>
      <c r="CO85" s="86">
        <v>1442.94</v>
      </c>
      <c r="CP85" s="88">
        <v>3246.0640000000003</v>
      </c>
      <c r="CQ85" s="89">
        <v>13888.535</v>
      </c>
      <c r="CR85" s="85">
        <v>5453.911000000001</v>
      </c>
      <c r="CS85" s="86">
        <v>2203.6080000000002</v>
      </c>
      <c r="CT85" s="88">
        <v>6726.1590000000006</v>
      </c>
      <c r="CU85" s="89">
        <v>18344.803</v>
      </c>
      <c r="CV85" s="85">
        <v>12487.822999999999</v>
      </c>
      <c r="CW85" s="86">
        <v>3906.817</v>
      </c>
      <c r="CX85" s="88">
        <v>11606.8105</v>
      </c>
      <c r="CY85" s="89">
        <v>11750.191999999999</v>
      </c>
      <c r="CZ85" s="86">
        <v>942.75</v>
      </c>
      <c r="DA85" s="86">
        <v>2005.4850000000001</v>
      </c>
      <c r="DB85" s="86">
        <v>5721.59</v>
      </c>
      <c r="DC85" s="89">
        <v>9330.9590000000007</v>
      </c>
      <c r="DD85" s="86">
        <v>3762.6030000000001</v>
      </c>
      <c r="DE85" s="86">
        <v>1245.2759999999998</v>
      </c>
      <c r="DF85" s="86">
        <v>13945.594950000002</v>
      </c>
      <c r="DG85" s="89">
        <v>10962.384720000002</v>
      </c>
      <c r="DH85" s="150"/>
      <c r="DI85" s="150"/>
      <c r="DJ85" s="150"/>
      <c r="DK85" s="150"/>
    </row>
    <row r="86" spans="1:115" s="64" customFormat="1" x14ac:dyDescent="0.3">
      <c r="A86" s="33" t="s">
        <v>91</v>
      </c>
      <c r="B86" s="79">
        <v>4029.85</v>
      </c>
      <c r="C86" s="79">
        <v>4772.3999999999996</v>
      </c>
      <c r="D86" s="80">
        <v>2935.1</v>
      </c>
      <c r="E86" s="79">
        <v>2067.1999999999998</v>
      </c>
      <c r="F86" s="79">
        <v>2761.3</v>
      </c>
      <c r="G86" s="79">
        <v>2945.4700000000003</v>
      </c>
      <c r="H86" s="80">
        <v>13772.9</v>
      </c>
      <c r="I86" s="79">
        <v>9207.7000000000007</v>
      </c>
      <c r="J86" s="79">
        <v>14514.2</v>
      </c>
      <c r="K86" s="79">
        <v>9738.51</v>
      </c>
      <c r="L86" s="80">
        <v>11597.23</v>
      </c>
      <c r="M86" s="79">
        <v>1523.25</v>
      </c>
      <c r="N86" s="79">
        <v>4929.17</v>
      </c>
      <c r="O86" s="79">
        <v>19127.870000000003</v>
      </c>
      <c r="P86" s="80">
        <v>5682.25</v>
      </c>
      <c r="Q86" s="79">
        <v>1212</v>
      </c>
      <c r="R86" s="79">
        <v>6435.89</v>
      </c>
      <c r="S86" s="79">
        <v>2826.4300000000003</v>
      </c>
      <c r="T86" s="80">
        <v>42190.210000000006</v>
      </c>
      <c r="U86" s="79">
        <v>7399.2999999999993</v>
      </c>
      <c r="V86" s="79">
        <v>729.87</v>
      </c>
      <c r="W86" s="79">
        <v>2303.64</v>
      </c>
      <c r="X86" s="80">
        <v>9231.8700000000008</v>
      </c>
      <c r="Y86" s="79">
        <v>2556.5699999999997</v>
      </c>
      <c r="Z86" s="79">
        <v>2141.16</v>
      </c>
      <c r="AA86" s="79">
        <v>921.33600000000001</v>
      </c>
      <c r="AB86" s="80">
        <v>359.77</v>
      </c>
      <c r="AC86" s="79">
        <v>1072.2199999999998</v>
      </c>
      <c r="AD86" s="79">
        <v>1276.8899999999999</v>
      </c>
      <c r="AE86" s="79">
        <v>2227.35</v>
      </c>
      <c r="AF86" s="80">
        <v>3215.8199999999997</v>
      </c>
      <c r="AG86" s="79">
        <v>611.73</v>
      </c>
      <c r="AH86" s="79">
        <v>490.36</v>
      </c>
      <c r="AI86" s="79">
        <v>4031.5099999999998</v>
      </c>
      <c r="AJ86" s="80">
        <v>1547.38</v>
      </c>
      <c r="AK86" s="79">
        <v>6098.92</v>
      </c>
      <c r="AL86" s="79">
        <v>5813.5899999999992</v>
      </c>
      <c r="AM86" s="79">
        <v>3753.54</v>
      </c>
      <c r="AN86" s="80">
        <v>3656.76</v>
      </c>
      <c r="AO86" s="79">
        <v>1200.23</v>
      </c>
      <c r="AP86" s="79">
        <v>1029.5900000000001</v>
      </c>
      <c r="AQ86" s="79">
        <v>947.21</v>
      </c>
      <c r="AR86" s="80">
        <v>950.05</v>
      </c>
      <c r="AS86" s="81">
        <v>1179.1199999999999</v>
      </c>
      <c r="AT86" s="79">
        <v>2915.91</v>
      </c>
      <c r="AU86" s="79">
        <v>3917.74</v>
      </c>
      <c r="AV86" s="80">
        <v>2548.71</v>
      </c>
      <c r="AW86" s="81">
        <v>2146.81</v>
      </c>
      <c r="AX86" s="79">
        <v>3913.36</v>
      </c>
      <c r="AY86" s="79">
        <v>2874.69</v>
      </c>
      <c r="AZ86" s="82">
        <v>5041.95</v>
      </c>
      <c r="BA86" s="83">
        <v>4539.55</v>
      </c>
      <c r="BB86" s="83">
        <v>3585.62</v>
      </c>
      <c r="BC86" s="83">
        <v>1728.41</v>
      </c>
      <c r="BD86" s="82">
        <v>3615.0899999999997</v>
      </c>
      <c r="BE86" s="83">
        <v>5241.45</v>
      </c>
      <c r="BF86" s="83">
        <v>8055.83</v>
      </c>
      <c r="BG86" s="83">
        <v>7028.51</v>
      </c>
      <c r="BH86" s="82">
        <v>6817.1399999999994</v>
      </c>
      <c r="BI86" s="84">
        <v>8797.23</v>
      </c>
      <c r="BJ86" s="84">
        <v>6033.3899999999994</v>
      </c>
      <c r="BK86" s="84">
        <v>3826.9</v>
      </c>
      <c r="BL86" s="85">
        <v>3539.71</v>
      </c>
      <c r="BM86" s="86">
        <v>2138.88</v>
      </c>
      <c r="BN86" s="86">
        <v>1650</v>
      </c>
      <c r="BO86" s="86">
        <v>8039.02</v>
      </c>
      <c r="BP86" s="85">
        <v>4172.13</v>
      </c>
      <c r="BQ86" s="87">
        <v>6905.94</v>
      </c>
      <c r="BR86" s="87">
        <v>6401.1500000000005</v>
      </c>
      <c r="BS86" s="87">
        <v>14045.75</v>
      </c>
      <c r="BT86" s="85">
        <v>9711.35</v>
      </c>
      <c r="BU86" s="87">
        <v>10306.48</v>
      </c>
      <c r="BV86" s="87">
        <v>7862.73</v>
      </c>
      <c r="BW86" s="87">
        <v>7419.4400000000005</v>
      </c>
      <c r="BX86" s="85">
        <v>4175.58</v>
      </c>
      <c r="BY86" s="87">
        <v>7593.16</v>
      </c>
      <c r="BZ86" s="87">
        <v>1398.6599999999999</v>
      </c>
      <c r="CA86" s="87">
        <v>10141.94</v>
      </c>
      <c r="CB86" s="85">
        <v>5629.1880000000001</v>
      </c>
      <c r="CC86" s="87">
        <v>7382.527</v>
      </c>
      <c r="CD86" s="87">
        <v>12155.380000000001</v>
      </c>
      <c r="CE86" s="87">
        <v>8001.44</v>
      </c>
      <c r="CF86" s="85">
        <v>2993.4089999999997</v>
      </c>
      <c r="CG86" s="86">
        <v>2657.8910000000001</v>
      </c>
      <c r="CH86" s="88">
        <v>14400.239999999998</v>
      </c>
      <c r="CI86" s="89">
        <v>9257.91</v>
      </c>
      <c r="CJ86" s="85">
        <v>6597.67</v>
      </c>
      <c r="CK86" s="86">
        <v>5773.1100000000006</v>
      </c>
      <c r="CL86" s="88">
        <v>6510.32</v>
      </c>
      <c r="CM86" s="89">
        <v>13734.43</v>
      </c>
      <c r="CN86" s="85">
        <v>7950.0300000000007</v>
      </c>
      <c r="CO86" s="86">
        <v>7084.65</v>
      </c>
      <c r="CP86" s="88">
        <v>16838.501</v>
      </c>
      <c r="CQ86" s="89">
        <v>8273.7820000000011</v>
      </c>
      <c r="CR86" s="85">
        <v>19432.974999999999</v>
      </c>
      <c r="CS86" s="86">
        <v>48129.597999999998</v>
      </c>
      <c r="CT86" s="88">
        <v>45458.347999999998</v>
      </c>
      <c r="CU86" s="89">
        <v>38380.974999999999</v>
      </c>
      <c r="CV86" s="85">
        <v>27745.098000000002</v>
      </c>
      <c r="CW86" s="86">
        <v>33340.656999999999</v>
      </c>
      <c r="CX86" s="88">
        <v>21126.159</v>
      </c>
      <c r="CY86" s="89">
        <v>31764.866999999998</v>
      </c>
      <c r="CZ86" s="86">
        <v>10141.185000000001</v>
      </c>
      <c r="DA86" s="86">
        <v>95367.891000000003</v>
      </c>
      <c r="DB86" s="86">
        <v>80503.72</v>
      </c>
      <c r="DC86" s="89">
        <v>94670.593999999997</v>
      </c>
      <c r="DD86" s="86">
        <v>80625.002000000008</v>
      </c>
      <c r="DE86" s="86">
        <v>83594.83600000001</v>
      </c>
      <c r="DF86" s="86">
        <v>38356.415999999997</v>
      </c>
      <c r="DG86" s="89">
        <v>16240.764000000001</v>
      </c>
      <c r="DH86" s="150"/>
      <c r="DI86" s="150"/>
      <c r="DJ86" s="150"/>
      <c r="DK86" s="150"/>
    </row>
    <row r="87" spans="1:115" s="64" customFormat="1" x14ac:dyDescent="0.3">
      <c r="A87" s="33" t="s">
        <v>11</v>
      </c>
      <c r="B87" s="79">
        <v>1926.99</v>
      </c>
      <c r="C87" s="79">
        <v>1614.8</v>
      </c>
      <c r="D87" s="80">
        <v>5371.43</v>
      </c>
      <c r="E87" s="79">
        <v>6347.5</v>
      </c>
      <c r="F87" s="79">
        <v>1571.8000000000002</v>
      </c>
      <c r="G87" s="79">
        <v>942.12</v>
      </c>
      <c r="H87" s="80">
        <v>4281.2</v>
      </c>
      <c r="I87" s="79">
        <v>3415.6</v>
      </c>
      <c r="J87" s="79">
        <v>1224.5999999999999</v>
      </c>
      <c r="K87" s="79">
        <v>293.64999999999998</v>
      </c>
      <c r="L87" s="80">
        <v>1945.82</v>
      </c>
      <c r="M87" s="79">
        <v>1174.77</v>
      </c>
      <c r="N87" s="79">
        <v>0</v>
      </c>
      <c r="O87" s="79">
        <v>386.24</v>
      </c>
      <c r="P87" s="80">
        <v>6708.87</v>
      </c>
      <c r="Q87" s="79">
        <v>2620.25</v>
      </c>
      <c r="R87" s="79">
        <v>917.78</v>
      </c>
      <c r="S87" s="79">
        <v>305.23</v>
      </c>
      <c r="T87" s="80">
        <v>8131.35</v>
      </c>
      <c r="U87" s="79">
        <v>5464.11</v>
      </c>
      <c r="V87" s="79">
        <v>554.07999999999993</v>
      </c>
      <c r="W87" s="79">
        <v>127.38999999999999</v>
      </c>
      <c r="X87" s="80">
        <v>302.01</v>
      </c>
      <c r="Y87" s="79">
        <v>677.89</v>
      </c>
      <c r="Z87" s="79">
        <v>50.39</v>
      </c>
      <c r="AA87" s="79">
        <v>0</v>
      </c>
      <c r="AB87" s="80">
        <v>0</v>
      </c>
      <c r="AC87" s="79">
        <v>12.4</v>
      </c>
      <c r="AD87" s="79">
        <v>0</v>
      </c>
      <c r="AE87" s="79">
        <v>0</v>
      </c>
      <c r="AF87" s="80">
        <v>1321.75</v>
      </c>
      <c r="AG87" s="79">
        <v>960.94</v>
      </c>
      <c r="AH87" s="79">
        <v>140.30000000000001</v>
      </c>
      <c r="AI87" s="79">
        <v>0</v>
      </c>
      <c r="AJ87" s="80">
        <v>592.66</v>
      </c>
      <c r="AK87" s="79">
        <v>316.89999999999998</v>
      </c>
      <c r="AL87" s="79">
        <v>33.25</v>
      </c>
      <c r="AM87" s="79">
        <v>36.1</v>
      </c>
      <c r="AN87" s="80">
        <v>396.14</v>
      </c>
      <c r="AO87" s="79">
        <v>1024.8</v>
      </c>
      <c r="AP87" s="79">
        <v>117.14</v>
      </c>
      <c r="AQ87" s="79">
        <v>54</v>
      </c>
      <c r="AR87" s="80">
        <v>54.14</v>
      </c>
      <c r="AS87" s="81">
        <v>811.54</v>
      </c>
      <c r="AT87" s="79">
        <v>431.05</v>
      </c>
      <c r="AU87" s="79">
        <v>90.35</v>
      </c>
      <c r="AV87" s="80">
        <v>2536.69</v>
      </c>
      <c r="AW87" s="81">
        <v>1868.51</v>
      </c>
      <c r="AX87" s="79">
        <v>1220.8399999999999</v>
      </c>
      <c r="AY87" s="79">
        <v>289.58</v>
      </c>
      <c r="AZ87" s="82">
        <v>2215</v>
      </c>
      <c r="BA87" s="83">
        <v>1073.71</v>
      </c>
      <c r="BB87" s="83">
        <v>396.65</v>
      </c>
      <c r="BC87" s="83">
        <v>278.31</v>
      </c>
      <c r="BD87" s="82">
        <v>2147.3000000000002</v>
      </c>
      <c r="BE87" s="83">
        <v>1890.54</v>
      </c>
      <c r="BF87" s="83">
        <v>1402.81</v>
      </c>
      <c r="BG87" s="83">
        <v>748.29</v>
      </c>
      <c r="BH87" s="82">
        <v>4569.1499999999996</v>
      </c>
      <c r="BI87" s="84">
        <v>1685.5700000000002</v>
      </c>
      <c r="BJ87" s="84">
        <v>1209.54</v>
      </c>
      <c r="BK87" s="84">
        <v>126.33000000000001</v>
      </c>
      <c r="BL87" s="85">
        <v>2106.86</v>
      </c>
      <c r="BM87" s="86">
        <v>1581.3200000000002</v>
      </c>
      <c r="BN87" s="86">
        <v>1273.24</v>
      </c>
      <c r="BO87" s="86">
        <v>1048.79</v>
      </c>
      <c r="BP87" s="85">
        <v>4748.6000000000004</v>
      </c>
      <c r="BQ87" s="87">
        <v>3676.12</v>
      </c>
      <c r="BR87" s="87">
        <v>618.74</v>
      </c>
      <c r="BS87" s="87">
        <v>1148.8600000000001</v>
      </c>
      <c r="BT87" s="85">
        <v>4935.09</v>
      </c>
      <c r="BU87" s="87">
        <v>5456.2800000000007</v>
      </c>
      <c r="BV87" s="87">
        <v>684.31999999999994</v>
      </c>
      <c r="BW87" s="87">
        <v>231.69300000000001</v>
      </c>
      <c r="BX87" s="85">
        <v>2998.94</v>
      </c>
      <c r="BY87" s="87">
        <v>3660.2050845387198</v>
      </c>
      <c r="BZ87" s="87">
        <v>2342.17</v>
      </c>
      <c r="CA87" s="87">
        <v>1236.2399999999998</v>
      </c>
      <c r="CB87" s="85">
        <v>8965.16</v>
      </c>
      <c r="CC87" s="87">
        <v>2850.29</v>
      </c>
      <c r="CD87" s="87">
        <v>1928.5900000000001</v>
      </c>
      <c r="CE87" s="87">
        <v>1133.55</v>
      </c>
      <c r="CF87" s="85">
        <v>4769.8609999999999</v>
      </c>
      <c r="CG87" s="86">
        <v>3679.5</v>
      </c>
      <c r="CH87" s="88">
        <v>407.2</v>
      </c>
      <c r="CI87" s="89">
        <v>1437.4649999999999</v>
      </c>
      <c r="CJ87" s="85">
        <v>9583.81</v>
      </c>
      <c r="CK87" s="86">
        <v>6493.4</v>
      </c>
      <c r="CL87" s="88">
        <v>2677.44</v>
      </c>
      <c r="CM87" s="89">
        <v>482.31</v>
      </c>
      <c r="CN87" s="85">
        <v>2301.81</v>
      </c>
      <c r="CO87" s="86">
        <v>3565.51</v>
      </c>
      <c r="CP87" s="88">
        <v>7918.1219999999994</v>
      </c>
      <c r="CQ87" s="89">
        <v>5486.9960000000001</v>
      </c>
      <c r="CR87" s="85">
        <v>17874.264999999999</v>
      </c>
      <c r="CS87" s="86">
        <v>7687.9679999999998</v>
      </c>
      <c r="CT87" s="88">
        <v>11310.055</v>
      </c>
      <c r="CU87" s="89">
        <v>5509.05</v>
      </c>
      <c r="CV87" s="85">
        <v>8930.2970000000005</v>
      </c>
      <c r="CW87" s="86">
        <v>3330.1980000000003</v>
      </c>
      <c r="CX87" s="88">
        <v>2375.6469999999999</v>
      </c>
      <c r="CY87" s="89">
        <v>1440.694</v>
      </c>
      <c r="CZ87" s="86">
        <v>6270.7</v>
      </c>
      <c r="DA87" s="86">
        <v>6351.15</v>
      </c>
      <c r="DB87" s="86">
        <v>1479.75</v>
      </c>
      <c r="DC87" s="89">
        <v>2051.8000000000002</v>
      </c>
      <c r="DD87" s="86">
        <v>11876.890000000001</v>
      </c>
      <c r="DE87" s="86">
        <v>2557.6559999999999</v>
      </c>
      <c r="DF87" s="86">
        <v>4495.4580000000005</v>
      </c>
      <c r="DG87" s="89">
        <v>2262.6669999999999</v>
      </c>
      <c r="DH87" s="150"/>
      <c r="DI87" s="150"/>
      <c r="DJ87" s="150"/>
      <c r="DK87" s="150"/>
    </row>
    <row r="88" spans="1:115" s="64" customFormat="1" x14ac:dyDescent="0.3">
      <c r="A88" s="33" t="s">
        <v>92</v>
      </c>
      <c r="B88" s="79">
        <v>90</v>
      </c>
      <c r="C88" s="79">
        <v>1030</v>
      </c>
      <c r="D88" s="80">
        <v>135.19999999999999</v>
      </c>
      <c r="E88" s="79">
        <v>0</v>
      </c>
      <c r="F88" s="79">
        <v>0</v>
      </c>
      <c r="G88" s="79">
        <v>1</v>
      </c>
      <c r="H88" s="80">
        <v>342</v>
      </c>
      <c r="I88" s="79">
        <v>415.4</v>
      </c>
      <c r="J88" s="79">
        <v>1058.5999999999999</v>
      </c>
      <c r="K88" s="79">
        <v>594.70000000000005</v>
      </c>
      <c r="L88" s="80">
        <v>369.2</v>
      </c>
      <c r="M88" s="79">
        <v>533.9</v>
      </c>
      <c r="N88" s="79">
        <v>900.3</v>
      </c>
      <c r="O88" s="79">
        <v>799.25</v>
      </c>
      <c r="P88" s="80">
        <v>1400.25</v>
      </c>
      <c r="Q88" s="79">
        <v>268</v>
      </c>
      <c r="R88" s="79">
        <v>365.3</v>
      </c>
      <c r="S88" s="79">
        <v>315.5</v>
      </c>
      <c r="T88" s="80">
        <v>0</v>
      </c>
      <c r="U88" s="79">
        <v>0</v>
      </c>
      <c r="V88" s="79">
        <v>0</v>
      </c>
      <c r="W88" s="79">
        <v>0</v>
      </c>
      <c r="X88" s="80">
        <v>63</v>
      </c>
      <c r="Y88" s="79">
        <v>83.08</v>
      </c>
      <c r="Z88" s="79">
        <v>35</v>
      </c>
      <c r="AA88" s="79">
        <v>0</v>
      </c>
      <c r="AB88" s="80">
        <v>11.5</v>
      </c>
      <c r="AC88" s="79">
        <v>0</v>
      </c>
      <c r="AD88" s="79">
        <v>23.05</v>
      </c>
      <c r="AE88" s="79">
        <v>15.3</v>
      </c>
      <c r="AF88" s="80">
        <v>0</v>
      </c>
      <c r="AG88" s="79">
        <v>0</v>
      </c>
      <c r="AH88" s="79">
        <v>0</v>
      </c>
      <c r="AI88" s="79">
        <v>39</v>
      </c>
      <c r="AJ88" s="80">
        <v>15.01</v>
      </c>
      <c r="AK88" s="79">
        <v>28.3</v>
      </c>
      <c r="AL88" s="79">
        <v>0</v>
      </c>
      <c r="AM88" s="79">
        <v>13.5</v>
      </c>
      <c r="AN88" s="80">
        <v>43.9</v>
      </c>
      <c r="AO88" s="79">
        <v>43.01</v>
      </c>
      <c r="AP88" s="79">
        <v>131</v>
      </c>
      <c r="AQ88" s="79">
        <v>1.8</v>
      </c>
      <c r="AR88" s="80">
        <v>0</v>
      </c>
      <c r="AS88" s="81">
        <v>0</v>
      </c>
      <c r="AT88" s="79">
        <v>157.5</v>
      </c>
      <c r="AU88" s="79">
        <v>296.77999999999997</v>
      </c>
      <c r="AV88" s="80">
        <v>161.22</v>
      </c>
      <c r="AW88" s="81">
        <v>101</v>
      </c>
      <c r="AX88" s="79">
        <v>237.68</v>
      </c>
      <c r="AY88" s="79">
        <v>36.61</v>
      </c>
      <c r="AZ88" s="82">
        <v>232.53</v>
      </c>
      <c r="BA88" s="83">
        <v>36</v>
      </c>
      <c r="BB88" s="83">
        <v>122.23</v>
      </c>
      <c r="BC88" s="83">
        <v>64.55</v>
      </c>
      <c r="BD88" s="82">
        <v>52.09</v>
      </c>
      <c r="BE88" s="83">
        <v>68.17</v>
      </c>
      <c r="BF88" s="83">
        <v>275.42</v>
      </c>
      <c r="BG88" s="83">
        <v>184.5</v>
      </c>
      <c r="BH88" s="82">
        <v>632.25</v>
      </c>
      <c r="BI88" s="84">
        <v>538.20000000000005</v>
      </c>
      <c r="BJ88" s="84">
        <v>1206.7</v>
      </c>
      <c r="BK88" s="84">
        <v>735.59999999999991</v>
      </c>
      <c r="BL88" s="85">
        <v>570.04</v>
      </c>
      <c r="BM88" s="86">
        <v>355.4</v>
      </c>
      <c r="BN88" s="86">
        <v>3868.0199999999995</v>
      </c>
      <c r="BO88" s="86">
        <v>1127.05</v>
      </c>
      <c r="BP88" s="85">
        <v>541.9</v>
      </c>
      <c r="BQ88" s="87">
        <v>432.48</v>
      </c>
      <c r="BR88" s="87">
        <v>1949.7</v>
      </c>
      <c r="BS88" s="87">
        <v>359.63</v>
      </c>
      <c r="BT88" s="85">
        <v>666.46</v>
      </c>
      <c r="BU88" s="87">
        <v>1457</v>
      </c>
      <c r="BV88" s="87">
        <v>1871.97</v>
      </c>
      <c r="BW88" s="87">
        <v>455.99</v>
      </c>
      <c r="BX88" s="85">
        <v>0</v>
      </c>
      <c r="BY88" s="87">
        <v>0</v>
      </c>
      <c r="BZ88" s="87">
        <v>340.29</v>
      </c>
      <c r="CA88" s="87">
        <v>651.02</v>
      </c>
      <c r="CB88" s="85">
        <v>525.51</v>
      </c>
      <c r="CC88" s="87">
        <v>36.71</v>
      </c>
      <c r="CD88" s="87">
        <v>1221.1500000000001</v>
      </c>
      <c r="CE88" s="87">
        <v>384.69</v>
      </c>
      <c r="CF88" s="85">
        <v>479.69499999999994</v>
      </c>
      <c r="CG88" s="86">
        <v>367.09100000000001</v>
      </c>
      <c r="CH88" s="88">
        <v>21.73</v>
      </c>
      <c r="CI88" s="89">
        <v>0</v>
      </c>
      <c r="CJ88" s="85">
        <v>0</v>
      </c>
      <c r="CK88" s="86">
        <v>0.05</v>
      </c>
      <c r="CL88" s="88">
        <v>18.11</v>
      </c>
      <c r="CM88" s="89">
        <v>0.03</v>
      </c>
      <c r="CN88" s="85">
        <v>3.2009999999999997E-2</v>
      </c>
      <c r="CO88" s="86">
        <v>16.45</v>
      </c>
      <c r="CP88" s="88">
        <v>1357.0749999999998</v>
      </c>
      <c r="CQ88" s="89">
        <v>368.13999999999993</v>
      </c>
      <c r="CR88" s="85">
        <v>206.6</v>
      </c>
      <c r="CS88" s="86">
        <v>3270.6050000000005</v>
      </c>
      <c r="CT88" s="88">
        <v>4833.7700000000004</v>
      </c>
      <c r="CU88" s="89">
        <v>6630.4979999999996</v>
      </c>
      <c r="CV88" s="85">
        <v>2056.9169999999999</v>
      </c>
      <c r="CW88" s="86">
        <v>2277.8609999999999</v>
      </c>
      <c r="CX88" s="88">
        <v>5677.4</v>
      </c>
      <c r="CY88" s="89">
        <v>2942.3</v>
      </c>
      <c r="CZ88" s="86">
        <v>1903.4659999999999</v>
      </c>
      <c r="DA88" s="86">
        <v>464.88</v>
      </c>
      <c r="DB88" s="86">
        <v>4765.8600000000006</v>
      </c>
      <c r="DC88" s="89">
        <v>5222.8289999999997</v>
      </c>
      <c r="DD88" s="86">
        <v>7670.0850000000009</v>
      </c>
      <c r="DE88" s="86">
        <v>2738.1330000000003</v>
      </c>
      <c r="DF88" s="86">
        <v>7913.4949999999999</v>
      </c>
      <c r="DG88" s="89">
        <v>6047.4189999999999</v>
      </c>
      <c r="DH88" s="150"/>
      <c r="DI88" s="150"/>
      <c r="DJ88" s="150"/>
      <c r="DK88" s="150"/>
    </row>
    <row r="89" spans="1:115" s="64" customFormat="1" x14ac:dyDescent="0.3">
      <c r="A89" s="33" t="s">
        <v>12</v>
      </c>
      <c r="B89" s="79">
        <v>10563.61</v>
      </c>
      <c r="C89" s="79">
        <v>11275.26</v>
      </c>
      <c r="D89" s="80">
        <v>10555.6</v>
      </c>
      <c r="E89" s="79">
        <v>2625.1000000000004</v>
      </c>
      <c r="F89" s="79">
        <v>3016.5</v>
      </c>
      <c r="G89" s="79">
        <v>5041.8900000000003</v>
      </c>
      <c r="H89" s="80">
        <v>16045.400000000001</v>
      </c>
      <c r="I89" s="79">
        <v>40375.699999999997</v>
      </c>
      <c r="J89" s="79">
        <v>14021.9</v>
      </c>
      <c r="K89" s="79">
        <v>25638.240000000002</v>
      </c>
      <c r="L89" s="80">
        <v>26862.11</v>
      </c>
      <c r="M89" s="79">
        <v>7914.9400000000005</v>
      </c>
      <c r="N89" s="79">
        <v>17137.05</v>
      </c>
      <c r="O89" s="79">
        <v>54863.32</v>
      </c>
      <c r="P89" s="80">
        <v>15027.14</v>
      </c>
      <c r="Q89" s="79">
        <v>12134.810000000001</v>
      </c>
      <c r="R89" s="79">
        <v>12183.89</v>
      </c>
      <c r="S89" s="79">
        <v>3985.8100000000004</v>
      </c>
      <c r="T89" s="80">
        <v>0</v>
      </c>
      <c r="U89" s="79">
        <v>0</v>
      </c>
      <c r="V89" s="79">
        <v>0</v>
      </c>
      <c r="W89" s="79">
        <v>12489.82</v>
      </c>
      <c r="X89" s="80">
        <v>12365.01</v>
      </c>
      <c r="Y89" s="79">
        <v>20100.449999999997</v>
      </c>
      <c r="Z89" s="79">
        <v>7627.99</v>
      </c>
      <c r="AA89" s="79">
        <v>1638.8249999999998</v>
      </c>
      <c r="AB89" s="80">
        <v>9516.01</v>
      </c>
      <c r="AC89" s="79">
        <v>14990.93</v>
      </c>
      <c r="AD89" s="79">
        <v>6581</v>
      </c>
      <c r="AE89" s="79">
        <v>11018.23</v>
      </c>
      <c r="AF89" s="80">
        <v>8223.84</v>
      </c>
      <c r="AG89" s="79">
        <v>1844.92</v>
      </c>
      <c r="AH89" s="79">
        <v>2979.51</v>
      </c>
      <c r="AI89" s="79">
        <v>1282.5</v>
      </c>
      <c r="AJ89" s="80">
        <v>2469.94</v>
      </c>
      <c r="AK89" s="79">
        <v>6097.55</v>
      </c>
      <c r="AL89" s="79">
        <v>923.32</v>
      </c>
      <c r="AM89" s="79">
        <v>924.34999999999991</v>
      </c>
      <c r="AN89" s="80">
        <v>15384.019999999999</v>
      </c>
      <c r="AO89" s="79">
        <v>12391.01</v>
      </c>
      <c r="AP89" s="79">
        <v>12298.05</v>
      </c>
      <c r="AQ89" s="79">
        <v>8021.52</v>
      </c>
      <c r="AR89" s="80">
        <v>42601.85</v>
      </c>
      <c r="AS89" s="81">
        <v>14967.69</v>
      </c>
      <c r="AT89" s="79">
        <v>8044.5300000000007</v>
      </c>
      <c r="AU89" s="79">
        <v>7364.25</v>
      </c>
      <c r="AV89" s="80">
        <v>8866.67</v>
      </c>
      <c r="AW89" s="81">
        <v>9626.0300000000007</v>
      </c>
      <c r="AX89" s="79">
        <v>19899.89</v>
      </c>
      <c r="AY89" s="79">
        <v>19856.93</v>
      </c>
      <c r="AZ89" s="82">
        <v>41842.14</v>
      </c>
      <c r="BA89" s="83">
        <v>16285.560000000001</v>
      </c>
      <c r="BB89" s="83">
        <v>17439.919999999998</v>
      </c>
      <c r="BC89" s="83">
        <v>10428.25</v>
      </c>
      <c r="BD89" s="82">
        <v>13422.460000000001</v>
      </c>
      <c r="BE89" s="83">
        <v>13841.96</v>
      </c>
      <c r="BF89" s="83">
        <v>21413.59</v>
      </c>
      <c r="BG89" s="83">
        <v>45148.270000000004</v>
      </c>
      <c r="BH89" s="82">
        <v>31471.1</v>
      </c>
      <c r="BI89" s="84">
        <v>21241.59</v>
      </c>
      <c r="BJ89" s="84">
        <v>40417.380000000005</v>
      </c>
      <c r="BK89" s="84">
        <v>16828.95</v>
      </c>
      <c r="BL89" s="85">
        <v>29361.9</v>
      </c>
      <c r="BM89" s="86">
        <v>28771.120000000003</v>
      </c>
      <c r="BN89" s="86">
        <v>15147.58</v>
      </c>
      <c r="BO89" s="86">
        <v>31770.13</v>
      </c>
      <c r="BP89" s="85">
        <v>17282.03</v>
      </c>
      <c r="BQ89" s="87">
        <v>19634.29</v>
      </c>
      <c r="BR89" s="87">
        <v>19665.91</v>
      </c>
      <c r="BS89" s="87">
        <v>15116.810000000001</v>
      </c>
      <c r="BT89" s="85">
        <v>39254.450000000004</v>
      </c>
      <c r="BU89" s="87">
        <v>28544.57</v>
      </c>
      <c r="BV89" s="87">
        <v>11492.08</v>
      </c>
      <c r="BW89" s="87">
        <v>19180.371999999996</v>
      </c>
      <c r="BX89" s="85">
        <v>36284.938000000002</v>
      </c>
      <c r="BY89" s="87">
        <v>51001.075999999994</v>
      </c>
      <c r="BZ89" s="87">
        <v>28213.094000000001</v>
      </c>
      <c r="CA89" s="87">
        <v>35889.589999999997</v>
      </c>
      <c r="CB89" s="85">
        <v>20128.66</v>
      </c>
      <c r="CC89" s="87">
        <v>15942.740000000002</v>
      </c>
      <c r="CD89" s="87">
        <v>41147.629999999997</v>
      </c>
      <c r="CE89" s="87">
        <v>16391.46</v>
      </c>
      <c r="CF89" s="85">
        <v>41010.551999999996</v>
      </c>
      <c r="CG89" s="86">
        <v>43019.834000000003</v>
      </c>
      <c r="CH89" s="88">
        <v>53198.67</v>
      </c>
      <c r="CI89" s="89">
        <v>72926.31</v>
      </c>
      <c r="CJ89" s="85">
        <v>50585.08</v>
      </c>
      <c r="CK89" s="86">
        <v>33039.72</v>
      </c>
      <c r="CL89" s="88">
        <v>41842.31</v>
      </c>
      <c r="CM89" s="89">
        <v>18065.239999999998</v>
      </c>
      <c r="CN89" s="85">
        <v>27540.340000000004</v>
      </c>
      <c r="CO89" s="86">
        <v>28673.040000000001</v>
      </c>
      <c r="CP89" s="88">
        <v>45333.547999999995</v>
      </c>
      <c r="CQ89" s="89">
        <v>40241.904999999999</v>
      </c>
      <c r="CR89" s="85">
        <v>29351.534</v>
      </c>
      <c r="CS89" s="86">
        <v>93747.387000000002</v>
      </c>
      <c r="CT89" s="88">
        <v>83637.344000000012</v>
      </c>
      <c r="CU89" s="89">
        <v>83925.688999999998</v>
      </c>
      <c r="CV89" s="85">
        <v>76895.872000000003</v>
      </c>
      <c r="CW89" s="86">
        <v>64452.577000000005</v>
      </c>
      <c r="CX89" s="88">
        <v>64783.353000000003</v>
      </c>
      <c r="CY89" s="89">
        <v>56982.554000000004</v>
      </c>
      <c r="CZ89" s="86">
        <v>71009.083000000013</v>
      </c>
      <c r="DA89" s="86">
        <v>103295.076</v>
      </c>
      <c r="DB89" s="86">
        <v>108020.74699999999</v>
      </c>
      <c r="DC89" s="89">
        <v>102038.63400000001</v>
      </c>
      <c r="DD89" s="86">
        <v>84471.320999999996</v>
      </c>
      <c r="DE89" s="86">
        <v>137460.46399999998</v>
      </c>
      <c r="DF89" s="86">
        <v>111439.95299999999</v>
      </c>
      <c r="DG89" s="89">
        <v>48152.161999999997</v>
      </c>
      <c r="DH89" s="150"/>
      <c r="DI89" s="150"/>
      <c r="DJ89" s="150"/>
      <c r="DK89" s="150"/>
    </row>
    <row r="90" spans="1:115" s="64" customFormat="1" x14ac:dyDescent="0.3">
      <c r="A90" s="33" t="s">
        <v>94</v>
      </c>
      <c r="B90" s="79" t="s">
        <v>93</v>
      </c>
      <c r="C90" s="79" t="s">
        <v>93</v>
      </c>
      <c r="D90" s="80" t="s">
        <v>93</v>
      </c>
      <c r="E90" s="79" t="s">
        <v>93</v>
      </c>
      <c r="F90" s="79" t="s">
        <v>93</v>
      </c>
      <c r="G90" s="79" t="s">
        <v>93</v>
      </c>
      <c r="H90" s="80" t="s">
        <v>93</v>
      </c>
      <c r="I90" s="79" t="s">
        <v>93</v>
      </c>
      <c r="J90" s="79" t="s">
        <v>93</v>
      </c>
      <c r="K90" s="79" t="s">
        <v>93</v>
      </c>
      <c r="L90" s="80" t="s">
        <v>93</v>
      </c>
      <c r="M90" s="79" t="s">
        <v>93</v>
      </c>
      <c r="N90" s="79" t="s">
        <v>93</v>
      </c>
      <c r="O90" s="79" t="s">
        <v>93</v>
      </c>
      <c r="P90" s="80" t="s">
        <v>93</v>
      </c>
      <c r="Q90" s="79" t="s">
        <v>93</v>
      </c>
      <c r="R90" s="79" t="s">
        <v>93</v>
      </c>
      <c r="S90" s="79" t="s">
        <v>93</v>
      </c>
      <c r="T90" s="80" t="s">
        <v>93</v>
      </c>
      <c r="U90" s="79" t="s">
        <v>93</v>
      </c>
      <c r="V90" s="79" t="s">
        <v>93</v>
      </c>
      <c r="W90" s="79" t="s">
        <v>93</v>
      </c>
      <c r="X90" s="80" t="s">
        <v>93</v>
      </c>
      <c r="Y90" s="79" t="s">
        <v>93</v>
      </c>
      <c r="Z90" s="79" t="s">
        <v>93</v>
      </c>
      <c r="AA90" s="79" t="s">
        <v>93</v>
      </c>
      <c r="AB90" s="80" t="s">
        <v>93</v>
      </c>
      <c r="AC90" s="79" t="s">
        <v>93</v>
      </c>
      <c r="AD90" s="79" t="s">
        <v>93</v>
      </c>
      <c r="AE90" s="79" t="s">
        <v>93</v>
      </c>
      <c r="AF90" s="80">
        <v>395.66999999999996</v>
      </c>
      <c r="AG90" s="79">
        <v>1536.1</v>
      </c>
      <c r="AH90" s="79">
        <v>47.18</v>
      </c>
      <c r="AI90" s="79">
        <v>0</v>
      </c>
      <c r="AJ90" s="80">
        <v>0</v>
      </c>
      <c r="AK90" s="79">
        <v>0</v>
      </c>
      <c r="AL90" s="79">
        <v>0</v>
      </c>
      <c r="AM90" s="79">
        <v>0</v>
      </c>
      <c r="AN90" s="80">
        <v>536.17999999999995</v>
      </c>
      <c r="AO90" s="79">
        <v>0</v>
      </c>
      <c r="AP90" s="79">
        <v>95.289999999999992</v>
      </c>
      <c r="AQ90" s="79">
        <v>0</v>
      </c>
      <c r="AR90" s="80">
        <v>0</v>
      </c>
      <c r="AS90" s="81">
        <v>0</v>
      </c>
      <c r="AT90" s="79">
        <v>0</v>
      </c>
      <c r="AU90" s="79">
        <v>0</v>
      </c>
      <c r="AV90" s="80">
        <v>0</v>
      </c>
      <c r="AW90" s="81">
        <v>0</v>
      </c>
      <c r="AX90" s="79">
        <v>0</v>
      </c>
      <c r="AY90" s="79">
        <v>0</v>
      </c>
      <c r="AZ90" s="82">
        <v>0</v>
      </c>
      <c r="BA90" s="83">
        <v>0</v>
      </c>
      <c r="BB90" s="83">
        <v>0</v>
      </c>
      <c r="BC90" s="83">
        <v>0</v>
      </c>
      <c r="BD90" s="82">
        <v>0</v>
      </c>
      <c r="BE90" s="83">
        <v>0</v>
      </c>
      <c r="BF90" s="83">
        <v>0</v>
      </c>
      <c r="BG90" s="83">
        <v>29.5</v>
      </c>
      <c r="BH90" s="82">
        <v>36</v>
      </c>
      <c r="BI90" s="84">
        <v>193.92000000000002</v>
      </c>
      <c r="BJ90" s="84">
        <v>54</v>
      </c>
      <c r="BK90" s="84">
        <v>2.98</v>
      </c>
      <c r="BL90" s="85">
        <v>0</v>
      </c>
      <c r="BM90" s="86">
        <v>6.8</v>
      </c>
      <c r="BN90" s="86">
        <v>64.5</v>
      </c>
      <c r="BO90" s="86">
        <v>63</v>
      </c>
      <c r="BP90" s="85">
        <v>121.85</v>
      </c>
      <c r="BQ90" s="87">
        <v>5563.72</v>
      </c>
      <c r="BR90" s="87">
        <v>4876.55</v>
      </c>
      <c r="BS90" s="87">
        <v>3920.92</v>
      </c>
      <c r="BT90" s="85">
        <v>9312.7099999999991</v>
      </c>
      <c r="BU90" s="87">
        <v>1407.6399999999999</v>
      </c>
      <c r="BV90" s="87">
        <v>381.50900000000001</v>
      </c>
      <c r="BW90" s="87">
        <v>183.9</v>
      </c>
      <c r="BX90" s="85">
        <v>2186.645</v>
      </c>
      <c r="BY90" s="87">
        <v>2449.1770000000001</v>
      </c>
      <c r="BZ90" s="87">
        <v>561.25</v>
      </c>
      <c r="CA90" s="87">
        <v>209.5</v>
      </c>
      <c r="CB90" s="85">
        <v>561.85</v>
      </c>
      <c r="CC90" s="87">
        <v>152.69999999999999</v>
      </c>
      <c r="CD90" s="87">
        <v>227.6</v>
      </c>
      <c r="CE90" s="87">
        <v>57</v>
      </c>
      <c r="CF90" s="85">
        <v>9358.7129999999997</v>
      </c>
      <c r="CG90" s="86">
        <v>4226.1709999999994</v>
      </c>
      <c r="CH90" s="88">
        <v>11.02</v>
      </c>
      <c r="CI90" s="89">
        <v>0</v>
      </c>
      <c r="CJ90" s="85">
        <v>26998.9</v>
      </c>
      <c r="CK90" s="86">
        <v>16350.05</v>
      </c>
      <c r="CL90" s="88">
        <v>4746.13</v>
      </c>
      <c r="CM90" s="89">
        <v>6664.41</v>
      </c>
      <c r="CN90" s="85">
        <v>23222.980000000003</v>
      </c>
      <c r="CO90" s="86">
        <v>19551.370000000003</v>
      </c>
      <c r="CP90" s="88">
        <v>7156.9670000000006</v>
      </c>
      <c r="CQ90" s="89">
        <v>10364.792000000001</v>
      </c>
      <c r="CR90" s="85">
        <v>33212.706000000006</v>
      </c>
      <c r="CS90" s="86">
        <v>15061.359</v>
      </c>
      <c r="CT90" s="88">
        <v>9815.5040000000008</v>
      </c>
      <c r="CU90" s="89">
        <v>4435.5789999999997</v>
      </c>
      <c r="CV90" s="85">
        <v>22589.665000000001</v>
      </c>
      <c r="CW90" s="86">
        <v>32438.411</v>
      </c>
      <c r="CX90" s="88">
        <v>4552.05</v>
      </c>
      <c r="CY90" s="89">
        <v>23710.28</v>
      </c>
      <c r="CZ90" s="86">
        <v>39517.968000000001</v>
      </c>
      <c r="DA90" s="86">
        <v>13029.452000000001</v>
      </c>
      <c r="DB90" s="86">
        <v>8295.01</v>
      </c>
      <c r="DC90" s="89">
        <v>17148.363000000001</v>
      </c>
      <c r="DD90" s="86">
        <v>37570.866999999998</v>
      </c>
      <c r="DE90" s="86">
        <v>20531.2</v>
      </c>
      <c r="DF90" s="86">
        <v>11531.611000000001</v>
      </c>
      <c r="DG90" s="89">
        <v>24147.875</v>
      </c>
      <c r="DH90" s="150"/>
      <c r="DI90" s="150"/>
      <c r="DJ90" s="150"/>
      <c r="DK90" s="150"/>
    </row>
    <row r="91" spans="1:115" s="64" customFormat="1" x14ac:dyDescent="0.3">
      <c r="A91" s="33" t="s">
        <v>96</v>
      </c>
      <c r="B91" s="79">
        <v>267.60000000000002</v>
      </c>
      <c r="C91" s="79">
        <v>940.16000000000008</v>
      </c>
      <c r="D91" s="80">
        <v>369.8</v>
      </c>
      <c r="E91" s="79">
        <v>491.79999999999995</v>
      </c>
      <c r="F91" s="79">
        <v>684.3</v>
      </c>
      <c r="G91" s="79">
        <v>383.19</v>
      </c>
      <c r="H91" s="80">
        <v>551.70000000000005</v>
      </c>
      <c r="I91" s="79">
        <v>776</v>
      </c>
      <c r="J91" s="79">
        <v>1173.0999999999999</v>
      </c>
      <c r="K91" s="79">
        <v>1941.38</v>
      </c>
      <c r="L91" s="80">
        <v>1729.01</v>
      </c>
      <c r="M91" s="79">
        <v>1334.51</v>
      </c>
      <c r="N91" s="79">
        <v>1342.05</v>
      </c>
      <c r="O91" s="79">
        <v>2255.77</v>
      </c>
      <c r="P91" s="80">
        <v>2775.25</v>
      </c>
      <c r="Q91" s="79">
        <v>2295.1</v>
      </c>
      <c r="R91" s="79">
        <v>4241.74</v>
      </c>
      <c r="S91" s="79">
        <v>3072.06</v>
      </c>
      <c r="T91" s="80">
        <v>3458.65</v>
      </c>
      <c r="U91" s="79">
        <v>2237.7799999999997</v>
      </c>
      <c r="V91" s="79">
        <v>1925.62</v>
      </c>
      <c r="W91" s="79">
        <v>3153.8500000000004</v>
      </c>
      <c r="X91" s="80">
        <v>2412.06</v>
      </c>
      <c r="Y91" s="79">
        <v>1763.19</v>
      </c>
      <c r="Z91" s="79">
        <v>2143.29</v>
      </c>
      <c r="AA91" s="79">
        <v>4109.0996999999998</v>
      </c>
      <c r="AB91" s="80">
        <v>2021.5900000000001</v>
      </c>
      <c r="AC91" s="79">
        <v>1606.93</v>
      </c>
      <c r="AD91" s="79">
        <v>4357.7</v>
      </c>
      <c r="AE91" s="79">
        <v>5685.5</v>
      </c>
      <c r="AF91" s="80">
        <v>4059.0400000000004</v>
      </c>
      <c r="AG91" s="79">
        <v>2189.3599999999997</v>
      </c>
      <c r="AH91" s="79">
        <v>1272.23</v>
      </c>
      <c r="AI91" s="79">
        <v>2363.83</v>
      </c>
      <c r="AJ91" s="80">
        <v>2003.77</v>
      </c>
      <c r="AK91" s="79">
        <v>1791.06</v>
      </c>
      <c r="AL91" s="79">
        <v>3512.1509999999998</v>
      </c>
      <c r="AM91" s="79">
        <v>3880.59</v>
      </c>
      <c r="AN91" s="80">
        <v>6456.15</v>
      </c>
      <c r="AO91" s="79">
        <v>6513.75</v>
      </c>
      <c r="AP91" s="79">
        <v>6722.58</v>
      </c>
      <c r="AQ91" s="79">
        <v>8470.92</v>
      </c>
      <c r="AR91" s="80">
        <v>6623.21</v>
      </c>
      <c r="AS91" s="81">
        <v>6120.99</v>
      </c>
      <c r="AT91" s="79">
        <v>5909.15</v>
      </c>
      <c r="AU91" s="79">
        <v>6001.26</v>
      </c>
      <c r="AV91" s="80">
        <v>5094.7700000000004</v>
      </c>
      <c r="AW91" s="81">
        <v>6961.9800000000005</v>
      </c>
      <c r="AX91" s="79">
        <v>6146.09</v>
      </c>
      <c r="AY91" s="79">
        <v>5456.6399999999994</v>
      </c>
      <c r="AZ91" s="82">
        <v>8173.34</v>
      </c>
      <c r="BA91" s="83">
        <v>7114.23</v>
      </c>
      <c r="BB91" s="83">
        <v>9315.69</v>
      </c>
      <c r="BC91" s="83">
        <v>7006.66</v>
      </c>
      <c r="BD91" s="82">
        <v>9125.1699999999983</v>
      </c>
      <c r="BE91" s="83">
        <v>6701.01</v>
      </c>
      <c r="BF91" s="83">
        <v>9022.7199999999993</v>
      </c>
      <c r="BG91" s="83">
        <v>11114.27</v>
      </c>
      <c r="BH91" s="82">
        <v>9036.1</v>
      </c>
      <c r="BI91" s="84">
        <v>9442.94</v>
      </c>
      <c r="BJ91" s="84">
        <v>8956.42</v>
      </c>
      <c r="BK91" s="84">
        <v>9464.2099999999991</v>
      </c>
      <c r="BL91" s="85">
        <v>9218.6899999999987</v>
      </c>
      <c r="BM91" s="86">
        <v>8002.5599999999995</v>
      </c>
      <c r="BN91" s="86">
        <v>7351.9000000000005</v>
      </c>
      <c r="BO91" s="86">
        <v>7025.9800000000005</v>
      </c>
      <c r="BP91" s="85">
        <v>6827.63</v>
      </c>
      <c r="BQ91" s="87">
        <v>6786.52</v>
      </c>
      <c r="BR91" s="87">
        <v>6322.03</v>
      </c>
      <c r="BS91" s="87">
        <v>7517.76</v>
      </c>
      <c r="BT91" s="85">
        <v>3029.7070000000003</v>
      </c>
      <c r="BU91" s="87">
        <v>5031.7199999999993</v>
      </c>
      <c r="BV91" s="87">
        <v>5648.59</v>
      </c>
      <c r="BW91" s="87">
        <v>6835.12</v>
      </c>
      <c r="BX91" s="85">
        <v>6140</v>
      </c>
      <c r="BY91" s="87">
        <v>5928.4472619550306</v>
      </c>
      <c r="BZ91" s="87">
        <v>5134.18</v>
      </c>
      <c r="CA91" s="87">
        <v>6415.4699999999993</v>
      </c>
      <c r="CB91" s="85">
        <v>5459.66</v>
      </c>
      <c r="CC91" s="87">
        <v>4870.5839999999998</v>
      </c>
      <c r="CD91" s="87">
        <v>4525.76</v>
      </c>
      <c r="CE91" s="87">
        <v>4860.79</v>
      </c>
      <c r="CF91" s="85">
        <v>6218.6490000000003</v>
      </c>
      <c r="CG91" s="86">
        <v>5085.3369999999995</v>
      </c>
      <c r="CH91" s="88">
        <v>4985.0999999999995</v>
      </c>
      <c r="CI91" s="89">
        <v>5725.0097999999998</v>
      </c>
      <c r="CJ91" s="85">
        <v>5407.73</v>
      </c>
      <c r="CK91" s="86">
        <v>4084.47</v>
      </c>
      <c r="CL91" s="88">
        <v>4220.21</v>
      </c>
      <c r="CM91" s="89">
        <v>4783.71</v>
      </c>
      <c r="CN91" s="85">
        <v>4204.78</v>
      </c>
      <c r="CO91" s="86">
        <v>3664.9700000000003</v>
      </c>
      <c r="CP91" s="88">
        <v>4471.6509999999998</v>
      </c>
      <c r="CQ91" s="89">
        <v>5735.1769999999997</v>
      </c>
      <c r="CR91" s="85">
        <v>4353.6869999999999</v>
      </c>
      <c r="CS91" s="86">
        <v>4459.6279999999997</v>
      </c>
      <c r="CT91" s="88">
        <v>4643.4030000000002</v>
      </c>
      <c r="CU91" s="89">
        <v>4950.8450000000003</v>
      </c>
      <c r="CV91" s="85">
        <v>5128.9660000000003</v>
      </c>
      <c r="CW91" s="86">
        <v>4604.62</v>
      </c>
      <c r="CX91" s="88">
        <v>4334.6309999999994</v>
      </c>
      <c r="CY91" s="89">
        <v>5477.8549999999996</v>
      </c>
      <c r="CZ91" s="86">
        <v>5219.902</v>
      </c>
      <c r="DA91" s="86">
        <v>5158.9979999999996</v>
      </c>
      <c r="DB91" s="86">
        <v>4268.4870000000001</v>
      </c>
      <c r="DC91" s="89">
        <v>4574.8861999999999</v>
      </c>
      <c r="DD91" s="86">
        <v>4572.6480000000001</v>
      </c>
      <c r="DE91" s="86">
        <v>5973.2790000000005</v>
      </c>
      <c r="DF91" s="86">
        <v>6513.4486400000005</v>
      </c>
      <c r="DG91" s="89">
        <v>7485.1790899999996</v>
      </c>
      <c r="DH91" s="150"/>
      <c r="DI91" s="150"/>
      <c r="DJ91" s="150"/>
      <c r="DK91" s="150"/>
    </row>
    <row r="92" spans="1:115" s="64" customFormat="1" x14ac:dyDescent="0.3">
      <c r="A92" s="33" t="s">
        <v>29</v>
      </c>
      <c r="B92" s="79">
        <v>68.17</v>
      </c>
      <c r="C92" s="79">
        <v>7.45</v>
      </c>
      <c r="D92" s="80">
        <v>20.7</v>
      </c>
      <c r="E92" s="79">
        <v>12.1</v>
      </c>
      <c r="F92" s="79">
        <v>73.900000000000006</v>
      </c>
      <c r="G92" s="79">
        <v>9.6199999999999992</v>
      </c>
      <c r="H92" s="80">
        <v>78.900000000000006</v>
      </c>
      <c r="I92" s="79">
        <v>34.1</v>
      </c>
      <c r="J92" s="79">
        <v>60.300000000000004</v>
      </c>
      <c r="K92" s="79">
        <v>84.89</v>
      </c>
      <c r="L92" s="80">
        <v>611.29</v>
      </c>
      <c r="M92" s="79">
        <v>388.44</v>
      </c>
      <c r="N92" s="79">
        <v>461.71000000000004</v>
      </c>
      <c r="O92" s="79">
        <v>327.05</v>
      </c>
      <c r="P92" s="80">
        <v>112.46000000000001</v>
      </c>
      <c r="Q92" s="79">
        <v>282.99</v>
      </c>
      <c r="R92" s="79">
        <v>260.52999999999997</v>
      </c>
      <c r="S92" s="79">
        <v>120.43</v>
      </c>
      <c r="T92" s="80">
        <v>1291.9900000000002</v>
      </c>
      <c r="U92" s="79">
        <v>468</v>
      </c>
      <c r="V92" s="79">
        <v>258.52999999999997</v>
      </c>
      <c r="W92" s="79">
        <v>323.48</v>
      </c>
      <c r="X92" s="80">
        <v>456.19000000000005</v>
      </c>
      <c r="Y92" s="79">
        <v>677.57999999999993</v>
      </c>
      <c r="Z92" s="79">
        <v>474.92</v>
      </c>
      <c r="AA92" s="79">
        <v>543.60019999999997</v>
      </c>
      <c r="AB92" s="80">
        <v>596.85</v>
      </c>
      <c r="AC92" s="79">
        <v>618.20000000000005</v>
      </c>
      <c r="AD92" s="79">
        <v>849.8</v>
      </c>
      <c r="AE92" s="79">
        <v>859.55</v>
      </c>
      <c r="AF92" s="80">
        <v>2689.96</v>
      </c>
      <c r="AG92" s="79">
        <v>4172.22</v>
      </c>
      <c r="AH92" s="79">
        <v>954.31000000000006</v>
      </c>
      <c r="AI92" s="79">
        <v>1459.55</v>
      </c>
      <c r="AJ92" s="80">
        <v>903.3</v>
      </c>
      <c r="AK92" s="79">
        <v>2753.5199999999995</v>
      </c>
      <c r="AL92" s="79">
        <v>2075.6419999999998</v>
      </c>
      <c r="AM92" s="79">
        <v>459.2</v>
      </c>
      <c r="AN92" s="80">
        <v>579.91999999999996</v>
      </c>
      <c r="AO92" s="79">
        <v>634.01</v>
      </c>
      <c r="AP92" s="79">
        <v>2534.77</v>
      </c>
      <c r="AQ92" s="79">
        <v>1048.92</v>
      </c>
      <c r="AR92" s="80">
        <v>2089.2799999999997</v>
      </c>
      <c r="AS92" s="81">
        <v>3459.0099999999998</v>
      </c>
      <c r="AT92" s="79">
        <v>841.01</v>
      </c>
      <c r="AU92" s="79">
        <v>1331.1799999999998</v>
      </c>
      <c r="AV92" s="80">
        <v>2357.3040000000001</v>
      </c>
      <c r="AW92" s="81">
        <v>2246.09</v>
      </c>
      <c r="AX92" s="79">
        <v>5348.4</v>
      </c>
      <c r="AY92" s="79">
        <v>1550.21</v>
      </c>
      <c r="AZ92" s="82">
        <v>2781.37</v>
      </c>
      <c r="BA92" s="83">
        <v>3025.04</v>
      </c>
      <c r="BB92" s="83">
        <v>7680.05</v>
      </c>
      <c r="BC92" s="83">
        <v>3033.38</v>
      </c>
      <c r="BD92" s="82">
        <v>2386.94</v>
      </c>
      <c r="BE92" s="83">
        <v>2172.56</v>
      </c>
      <c r="BF92" s="83">
        <v>2239.48</v>
      </c>
      <c r="BG92" s="83">
        <v>139718.50999999998</v>
      </c>
      <c r="BH92" s="82">
        <v>2386.54</v>
      </c>
      <c r="BI92" s="84">
        <v>2594.25</v>
      </c>
      <c r="BJ92" s="84">
        <v>2860.2200000000003</v>
      </c>
      <c r="BK92" s="84">
        <v>2560.9700000000003</v>
      </c>
      <c r="BL92" s="85">
        <v>4267.8499999999995</v>
      </c>
      <c r="BM92" s="86">
        <v>7209.61</v>
      </c>
      <c r="BN92" s="86">
        <v>4195.97</v>
      </c>
      <c r="BO92" s="86">
        <v>5709.25</v>
      </c>
      <c r="BP92" s="85">
        <v>2957.36</v>
      </c>
      <c r="BQ92" s="87">
        <v>3544.25</v>
      </c>
      <c r="BR92" s="87">
        <v>5660.37</v>
      </c>
      <c r="BS92" s="87">
        <v>4423.7199999999993</v>
      </c>
      <c r="BT92" s="85">
        <v>2962.21</v>
      </c>
      <c r="BU92" s="87">
        <v>4003.12</v>
      </c>
      <c r="BV92" s="87">
        <v>5399.39</v>
      </c>
      <c r="BW92" s="87">
        <v>4027.54</v>
      </c>
      <c r="BX92" s="85">
        <v>1666.7249999999999</v>
      </c>
      <c r="BY92" s="87">
        <v>1975.2080000000001</v>
      </c>
      <c r="BZ92" s="87">
        <v>2557.66</v>
      </c>
      <c r="CA92" s="87">
        <v>7104.9299999999994</v>
      </c>
      <c r="CB92" s="85">
        <v>3405.0699999999997</v>
      </c>
      <c r="CC92" s="87">
        <v>3284.67</v>
      </c>
      <c r="CD92" s="87">
        <v>2741.2799999999997</v>
      </c>
      <c r="CE92" s="87">
        <v>2593.5100000000002</v>
      </c>
      <c r="CF92" s="85">
        <v>2011.8630000000001</v>
      </c>
      <c r="CG92" s="86">
        <v>3451.5260000000003</v>
      </c>
      <c r="CH92" s="88">
        <v>3007.0899999999997</v>
      </c>
      <c r="CI92" s="89">
        <v>2151.0169000000001</v>
      </c>
      <c r="CJ92" s="85">
        <v>8559.7100000000009</v>
      </c>
      <c r="CK92" s="86">
        <v>2748.8900000000003</v>
      </c>
      <c r="CL92" s="88">
        <v>2578.6</v>
      </c>
      <c r="CM92" s="89">
        <v>2683.69</v>
      </c>
      <c r="CN92" s="85">
        <v>3467.73</v>
      </c>
      <c r="CO92" s="86">
        <v>3922.47</v>
      </c>
      <c r="CP92" s="88">
        <v>11530.753000000001</v>
      </c>
      <c r="CQ92" s="89">
        <v>8994.6880000000001</v>
      </c>
      <c r="CR92" s="85">
        <v>8534.1</v>
      </c>
      <c r="CS92" s="86">
        <v>14742.852999999999</v>
      </c>
      <c r="CT92" s="88">
        <v>19294.521000000001</v>
      </c>
      <c r="CU92" s="89">
        <v>14786.733</v>
      </c>
      <c r="CV92" s="85">
        <v>24223.137000000002</v>
      </c>
      <c r="CW92" s="86">
        <v>24052.682000000001</v>
      </c>
      <c r="CX92" s="88">
        <v>17106.804</v>
      </c>
      <c r="CY92" s="89">
        <v>16974.990999999998</v>
      </c>
      <c r="CZ92" s="86">
        <v>15392.612000000001</v>
      </c>
      <c r="DA92" s="86">
        <v>16523.856</v>
      </c>
      <c r="DB92" s="86">
        <v>22192.430999999997</v>
      </c>
      <c r="DC92" s="89">
        <v>42918.745000000003</v>
      </c>
      <c r="DD92" s="86">
        <v>40431.822</v>
      </c>
      <c r="DE92" s="86">
        <v>29706.766</v>
      </c>
      <c r="DF92" s="86">
        <v>17060.712820000001</v>
      </c>
      <c r="DG92" s="89">
        <v>8015.6100999999999</v>
      </c>
      <c r="DH92" s="150"/>
      <c r="DI92" s="150"/>
      <c r="DJ92" s="150"/>
      <c r="DK92" s="150"/>
    </row>
    <row r="93" spans="1:115" s="64" customFormat="1" x14ac:dyDescent="0.3">
      <c r="A93" s="33" t="s">
        <v>97</v>
      </c>
      <c r="B93" s="79">
        <v>239.39</v>
      </c>
      <c r="C93" s="79">
        <v>450.56</v>
      </c>
      <c r="D93" s="80">
        <v>795.59999999999991</v>
      </c>
      <c r="E93" s="79">
        <v>489.7</v>
      </c>
      <c r="F93" s="79">
        <v>597.9</v>
      </c>
      <c r="G93" s="79">
        <v>1302.42</v>
      </c>
      <c r="H93" s="80">
        <v>1475.5</v>
      </c>
      <c r="I93" s="79">
        <v>1375.4</v>
      </c>
      <c r="J93" s="79">
        <v>1525.4999999999998</v>
      </c>
      <c r="K93" s="79">
        <v>1198.8700000000001</v>
      </c>
      <c r="L93" s="80">
        <v>1575.08</v>
      </c>
      <c r="M93" s="79">
        <v>1682.46</v>
      </c>
      <c r="N93" s="79">
        <v>1516.3200000000002</v>
      </c>
      <c r="O93" s="79">
        <v>1387.37</v>
      </c>
      <c r="P93" s="80">
        <v>1431.16</v>
      </c>
      <c r="Q93" s="79">
        <v>33999.350000000006</v>
      </c>
      <c r="R93" s="79">
        <v>1057.6399999999999</v>
      </c>
      <c r="S93" s="79">
        <v>855.81000000000006</v>
      </c>
      <c r="T93" s="80">
        <v>1272.3499999999999</v>
      </c>
      <c r="U93" s="79">
        <v>1960.49</v>
      </c>
      <c r="V93" s="79">
        <v>238.74</v>
      </c>
      <c r="W93" s="79">
        <v>1110.23</v>
      </c>
      <c r="X93" s="80">
        <v>1693.39</v>
      </c>
      <c r="Y93" s="79">
        <v>1441.62</v>
      </c>
      <c r="Z93" s="79">
        <v>1325.24</v>
      </c>
      <c r="AA93" s="79">
        <v>2022.7469999999998</v>
      </c>
      <c r="AB93" s="80">
        <v>1266.74</v>
      </c>
      <c r="AC93" s="79">
        <v>1493.43</v>
      </c>
      <c r="AD93" s="79">
        <v>2758.6899999999996</v>
      </c>
      <c r="AE93" s="79">
        <v>3482.32</v>
      </c>
      <c r="AF93" s="80">
        <v>2666.02</v>
      </c>
      <c r="AG93" s="79">
        <v>2502.35</v>
      </c>
      <c r="AH93" s="79">
        <v>1139.2199999999998</v>
      </c>
      <c r="AI93" s="79">
        <v>997.86</v>
      </c>
      <c r="AJ93" s="80">
        <v>2711.0099999999998</v>
      </c>
      <c r="AK93" s="79">
        <v>3444.1499999999996</v>
      </c>
      <c r="AL93" s="79">
        <v>3925.29</v>
      </c>
      <c r="AM93" s="79">
        <v>3634.52</v>
      </c>
      <c r="AN93" s="80">
        <v>5714.2000000000007</v>
      </c>
      <c r="AO93" s="79">
        <v>4572.53</v>
      </c>
      <c r="AP93" s="79">
        <v>4512.08</v>
      </c>
      <c r="AQ93" s="79">
        <v>6000.38</v>
      </c>
      <c r="AR93" s="80">
        <v>7503.7800000000007</v>
      </c>
      <c r="AS93" s="81">
        <v>5273.8899999999994</v>
      </c>
      <c r="AT93" s="79">
        <v>1734.8400000000001</v>
      </c>
      <c r="AU93" s="79">
        <v>6379.7000000000007</v>
      </c>
      <c r="AV93" s="80">
        <v>4329.6500000000005</v>
      </c>
      <c r="AW93" s="81">
        <v>3227.99</v>
      </c>
      <c r="AX93" s="79">
        <v>7428.26</v>
      </c>
      <c r="AY93" s="79">
        <v>4820.76</v>
      </c>
      <c r="AZ93" s="82">
        <v>5292.21</v>
      </c>
      <c r="BA93" s="83">
        <v>5108.43</v>
      </c>
      <c r="BB93" s="83">
        <v>4526.03</v>
      </c>
      <c r="BC93" s="83">
        <v>4451.8600000000006</v>
      </c>
      <c r="BD93" s="82">
        <v>5744.2300000000005</v>
      </c>
      <c r="BE93" s="83">
        <v>9058.2100000000009</v>
      </c>
      <c r="BF93" s="83">
        <v>7360.81</v>
      </c>
      <c r="BG93" s="83">
        <v>5045.3500000000004</v>
      </c>
      <c r="BH93" s="82">
        <v>5885.72</v>
      </c>
      <c r="BI93" s="84">
        <v>7069.09</v>
      </c>
      <c r="BJ93" s="84">
        <v>5759.1</v>
      </c>
      <c r="BK93" s="84">
        <v>5327.95</v>
      </c>
      <c r="BL93" s="85">
        <v>7027.15</v>
      </c>
      <c r="BM93" s="86">
        <v>7870.3799999999992</v>
      </c>
      <c r="BN93" s="86">
        <v>3718.08</v>
      </c>
      <c r="BO93" s="86">
        <v>3525.8399999999997</v>
      </c>
      <c r="BP93" s="85">
        <v>5450.31</v>
      </c>
      <c r="BQ93" s="87">
        <v>3357.51</v>
      </c>
      <c r="BR93" s="87">
        <v>1838.55</v>
      </c>
      <c r="BS93" s="87">
        <v>2132.23</v>
      </c>
      <c r="BT93" s="85">
        <v>1829.0099999999998</v>
      </c>
      <c r="BU93" s="87">
        <v>1195.4000000000001</v>
      </c>
      <c r="BV93" s="87">
        <v>948.35</v>
      </c>
      <c r="BW93" s="87">
        <v>1479.96</v>
      </c>
      <c r="BX93" s="85">
        <v>1922.6799999999998</v>
      </c>
      <c r="BY93" s="87">
        <v>3238.0361946135804</v>
      </c>
      <c r="BZ93" s="87">
        <v>2276.4900000000002</v>
      </c>
      <c r="CA93" s="87">
        <v>3919.3100000000004</v>
      </c>
      <c r="CB93" s="85">
        <v>7691.0999999999995</v>
      </c>
      <c r="CC93" s="87">
        <v>5274.5609999999997</v>
      </c>
      <c r="CD93" s="87">
        <v>4007.83</v>
      </c>
      <c r="CE93" s="87">
        <v>5035.1499999999996</v>
      </c>
      <c r="CF93" s="85">
        <v>6298.7179999999998</v>
      </c>
      <c r="CG93" s="86">
        <v>7429.9580000000005</v>
      </c>
      <c r="CH93" s="88">
        <v>5404.76</v>
      </c>
      <c r="CI93" s="89">
        <v>4113.2690000000002</v>
      </c>
      <c r="CJ93" s="85">
        <v>717.61</v>
      </c>
      <c r="CK93" s="86">
        <v>5122.3029999999999</v>
      </c>
      <c r="CL93" s="88">
        <v>8520.99</v>
      </c>
      <c r="CM93" s="89">
        <v>6900.16</v>
      </c>
      <c r="CN93" s="85">
        <v>9146.27</v>
      </c>
      <c r="CO93" s="86">
        <v>7206.09</v>
      </c>
      <c r="CP93" s="88">
        <v>7529.6329999999998</v>
      </c>
      <c r="CQ93" s="89">
        <v>8706.2089999999989</v>
      </c>
      <c r="CR93" s="85">
        <v>8731.777</v>
      </c>
      <c r="CS93" s="86">
        <v>7501.7049999999999</v>
      </c>
      <c r="CT93" s="88">
        <v>6538.5169999999998</v>
      </c>
      <c r="CU93" s="89">
        <v>7112.3249999999998</v>
      </c>
      <c r="CV93" s="85">
        <v>6946.3369999999995</v>
      </c>
      <c r="CW93" s="86">
        <v>5688.3620000000001</v>
      </c>
      <c r="CX93" s="88">
        <v>5291.1310000000003</v>
      </c>
      <c r="CY93" s="89">
        <v>6112.585</v>
      </c>
      <c r="CZ93" s="86">
        <v>6323.1789999999992</v>
      </c>
      <c r="DA93" s="86">
        <v>6973.5889999999999</v>
      </c>
      <c r="DB93" s="86">
        <v>5970.5720000000001</v>
      </c>
      <c r="DC93" s="89">
        <v>7035.7250000000004</v>
      </c>
      <c r="DD93" s="86">
        <v>8092.4510000000009</v>
      </c>
      <c r="DE93" s="86">
        <v>5671.15</v>
      </c>
      <c r="DF93" s="86">
        <v>5599.3424199999999</v>
      </c>
      <c r="DG93" s="89">
        <v>4428.0548499999995</v>
      </c>
      <c r="DH93" s="150"/>
      <c r="DI93" s="150"/>
      <c r="DJ93" s="150"/>
      <c r="DK93" s="150"/>
    </row>
    <row r="94" spans="1:115" s="64" customFormat="1" x14ac:dyDescent="0.3">
      <c r="A94" s="33" t="s">
        <v>24</v>
      </c>
      <c r="B94" s="79" t="s">
        <v>93</v>
      </c>
      <c r="C94" s="79" t="s">
        <v>93</v>
      </c>
      <c r="D94" s="80" t="s">
        <v>93</v>
      </c>
      <c r="E94" s="79" t="s">
        <v>93</v>
      </c>
      <c r="F94" s="79" t="s">
        <v>93</v>
      </c>
      <c r="G94" s="79" t="s">
        <v>93</v>
      </c>
      <c r="H94" s="80" t="s">
        <v>93</v>
      </c>
      <c r="I94" s="79" t="s">
        <v>93</v>
      </c>
      <c r="J94" s="79" t="s">
        <v>93</v>
      </c>
      <c r="K94" s="79" t="s">
        <v>93</v>
      </c>
      <c r="L94" s="80">
        <v>0</v>
      </c>
      <c r="M94" s="79">
        <v>1200</v>
      </c>
      <c r="N94" s="79">
        <v>0</v>
      </c>
      <c r="O94" s="79">
        <v>0</v>
      </c>
      <c r="P94" s="80">
        <v>0</v>
      </c>
      <c r="Q94" s="79">
        <v>0</v>
      </c>
      <c r="R94" s="79">
        <v>0</v>
      </c>
      <c r="S94" s="79">
        <v>0</v>
      </c>
      <c r="T94" s="80">
        <v>0</v>
      </c>
      <c r="U94" s="79">
        <v>0</v>
      </c>
      <c r="V94" s="79">
        <v>0</v>
      </c>
      <c r="W94" s="79">
        <v>0</v>
      </c>
      <c r="X94" s="80">
        <v>0</v>
      </c>
      <c r="Y94" s="79">
        <v>0</v>
      </c>
      <c r="Z94" s="79">
        <v>0</v>
      </c>
      <c r="AA94" s="79">
        <v>0</v>
      </c>
      <c r="AB94" s="80">
        <v>0</v>
      </c>
      <c r="AC94" s="79">
        <v>0</v>
      </c>
      <c r="AD94" s="79">
        <v>0</v>
      </c>
      <c r="AE94" s="79">
        <v>0</v>
      </c>
      <c r="AF94" s="80">
        <v>0</v>
      </c>
      <c r="AG94" s="79">
        <v>0</v>
      </c>
      <c r="AH94" s="79">
        <v>0</v>
      </c>
      <c r="AI94" s="79">
        <v>0</v>
      </c>
      <c r="AJ94" s="80">
        <v>0</v>
      </c>
      <c r="AK94" s="79">
        <v>0</v>
      </c>
      <c r="AL94" s="79">
        <v>0</v>
      </c>
      <c r="AM94" s="79">
        <v>0</v>
      </c>
      <c r="AN94" s="80">
        <v>0</v>
      </c>
      <c r="AO94" s="79">
        <v>0</v>
      </c>
      <c r="AP94" s="79">
        <v>0</v>
      </c>
      <c r="AQ94" s="79">
        <v>0</v>
      </c>
      <c r="AR94" s="80">
        <v>0</v>
      </c>
      <c r="AS94" s="81">
        <v>0</v>
      </c>
      <c r="AT94" s="79">
        <v>0</v>
      </c>
      <c r="AU94" s="79">
        <v>0</v>
      </c>
      <c r="AV94" s="80">
        <v>0</v>
      </c>
      <c r="AW94" s="81">
        <v>0</v>
      </c>
      <c r="AX94" s="79">
        <v>0</v>
      </c>
      <c r="AY94" s="79">
        <v>0</v>
      </c>
      <c r="AZ94" s="82">
        <v>0</v>
      </c>
      <c r="BA94" s="83">
        <v>0</v>
      </c>
      <c r="BB94" s="83">
        <v>0</v>
      </c>
      <c r="BC94" s="83">
        <v>0</v>
      </c>
      <c r="BD94" s="82">
        <v>0</v>
      </c>
      <c r="BE94" s="83">
        <v>0</v>
      </c>
      <c r="BF94" s="83">
        <v>0</v>
      </c>
      <c r="BG94" s="83">
        <v>0</v>
      </c>
      <c r="BH94" s="82">
        <v>0</v>
      </c>
      <c r="BI94" s="84">
        <v>0</v>
      </c>
      <c r="BJ94" s="84">
        <v>0</v>
      </c>
      <c r="BK94" s="84">
        <v>0</v>
      </c>
      <c r="BL94" s="85">
        <v>0</v>
      </c>
      <c r="BM94" s="86">
        <v>0</v>
      </c>
      <c r="BN94" s="86">
        <v>7466.75</v>
      </c>
      <c r="BO94" s="86">
        <v>42489.630000000005</v>
      </c>
      <c r="BP94" s="85">
        <v>50695.97</v>
      </c>
      <c r="BQ94" s="87">
        <v>89023.78</v>
      </c>
      <c r="BR94" s="87">
        <v>101986.95</v>
      </c>
      <c r="BS94" s="87">
        <v>110378.72</v>
      </c>
      <c r="BT94" s="85">
        <v>96706.700000000012</v>
      </c>
      <c r="BU94" s="87">
        <v>90646.290000000008</v>
      </c>
      <c r="BV94" s="87">
        <v>97522.43</v>
      </c>
      <c r="BW94" s="87">
        <v>105688.03</v>
      </c>
      <c r="BX94" s="85">
        <v>92484.770999999993</v>
      </c>
      <c r="BY94" s="87">
        <v>80022.448999999993</v>
      </c>
      <c r="BZ94" s="87">
        <v>85365.78</v>
      </c>
      <c r="CA94" s="87">
        <v>103279.93</v>
      </c>
      <c r="CB94" s="85">
        <v>108097.58</v>
      </c>
      <c r="CC94" s="87">
        <v>115964.16</v>
      </c>
      <c r="CD94" s="87">
        <v>143189.68</v>
      </c>
      <c r="CE94" s="87">
        <v>136644.32</v>
      </c>
      <c r="CF94" s="85">
        <v>120896.76499999998</v>
      </c>
      <c r="CG94" s="86">
        <v>136030.83799999999</v>
      </c>
      <c r="CH94" s="88">
        <v>158994.22999999998</v>
      </c>
      <c r="CI94" s="89">
        <v>139573.769</v>
      </c>
      <c r="CJ94" s="85">
        <v>141510.82</v>
      </c>
      <c r="CK94" s="86">
        <v>153154.90000000002</v>
      </c>
      <c r="CL94" s="88">
        <v>160658.9</v>
      </c>
      <c r="CM94" s="89">
        <v>135643.94</v>
      </c>
      <c r="CN94" s="85">
        <v>113942.24</v>
      </c>
      <c r="CO94" s="86">
        <v>45173.83</v>
      </c>
      <c r="CP94" s="88">
        <v>51274.58</v>
      </c>
      <c r="CQ94" s="89">
        <v>36622.93</v>
      </c>
      <c r="CR94" s="85">
        <v>46483.811000000002</v>
      </c>
      <c r="CS94" s="86">
        <v>121130.98999999999</v>
      </c>
      <c r="CT94" s="88">
        <v>100336.73999999999</v>
      </c>
      <c r="CU94" s="89">
        <v>91706.452999999994</v>
      </c>
      <c r="CV94" s="85">
        <v>86327.516999999993</v>
      </c>
      <c r="CW94" s="86">
        <v>103084.242</v>
      </c>
      <c r="CX94" s="88">
        <v>87509.622000000003</v>
      </c>
      <c r="CY94" s="89">
        <v>78928.990000000005</v>
      </c>
      <c r="CZ94" s="86">
        <v>67437.87</v>
      </c>
      <c r="DA94" s="86">
        <v>80675.100000000006</v>
      </c>
      <c r="DB94" s="86">
        <v>69781.441999999995</v>
      </c>
      <c r="DC94" s="89">
        <v>77831.088000000003</v>
      </c>
      <c r="DD94" s="86">
        <v>84016.19</v>
      </c>
      <c r="DE94" s="86">
        <v>90707.915999999997</v>
      </c>
      <c r="DF94" s="86">
        <v>92811.632000000012</v>
      </c>
      <c r="DG94" s="89">
        <v>125516.07800000001</v>
      </c>
      <c r="DH94" s="150"/>
      <c r="DI94" s="150"/>
      <c r="DJ94" s="150"/>
      <c r="DK94" s="150"/>
    </row>
    <row r="95" spans="1:115" s="64" customFormat="1" x14ac:dyDescent="0.3">
      <c r="A95" s="33" t="s">
        <v>14</v>
      </c>
      <c r="B95" s="79" t="s">
        <v>93</v>
      </c>
      <c r="C95" s="79" t="s">
        <v>93</v>
      </c>
      <c r="D95" s="80" t="s">
        <v>93</v>
      </c>
      <c r="E95" s="79" t="s">
        <v>93</v>
      </c>
      <c r="F95" s="79" t="s">
        <v>93</v>
      </c>
      <c r="G95" s="79" t="s">
        <v>93</v>
      </c>
      <c r="H95" s="80" t="s">
        <v>93</v>
      </c>
      <c r="I95" s="79" t="s">
        <v>93</v>
      </c>
      <c r="J95" s="79" t="s">
        <v>93</v>
      </c>
      <c r="K95" s="79" t="s">
        <v>93</v>
      </c>
      <c r="L95" s="80">
        <v>68.7</v>
      </c>
      <c r="M95" s="79">
        <v>49.730000000000004</v>
      </c>
      <c r="N95" s="79">
        <v>32.58</v>
      </c>
      <c r="O95" s="79">
        <v>138.92000000000002</v>
      </c>
      <c r="P95" s="80">
        <v>150.30000000000001</v>
      </c>
      <c r="Q95" s="79">
        <v>9090.0300000000007</v>
      </c>
      <c r="R95" s="79">
        <v>564.77</v>
      </c>
      <c r="S95" s="79">
        <v>379.78</v>
      </c>
      <c r="T95" s="80">
        <v>236.09</v>
      </c>
      <c r="U95" s="79">
        <v>0</v>
      </c>
      <c r="V95" s="79">
        <v>87.56</v>
      </c>
      <c r="W95" s="79">
        <v>321.64</v>
      </c>
      <c r="X95" s="80">
        <v>607.41</v>
      </c>
      <c r="Y95" s="79">
        <v>393.78999999999996</v>
      </c>
      <c r="Z95" s="79">
        <v>282.73</v>
      </c>
      <c r="AA95" s="79">
        <v>521.39</v>
      </c>
      <c r="AB95" s="80">
        <v>568.07000000000005</v>
      </c>
      <c r="AC95" s="79">
        <v>414.75</v>
      </c>
      <c r="AD95" s="79">
        <v>353.19</v>
      </c>
      <c r="AE95" s="79">
        <v>581.64</v>
      </c>
      <c r="AF95" s="80">
        <v>520.25</v>
      </c>
      <c r="AG95" s="79">
        <v>468.56</v>
      </c>
      <c r="AH95" s="79">
        <v>464.61</v>
      </c>
      <c r="AI95" s="79">
        <v>195.73000000000002</v>
      </c>
      <c r="AJ95" s="80">
        <v>0</v>
      </c>
      <c r="AK95" s="79">
        <v>0</v>
      </c>
      <c r="AL95" s="79">
        <v>0</v>
      </c>
      <c r="AM95" s="79">
        <v>1047</v>
      </c>
      <c r="AN95" s="80">
        <v>837</v>
      </c>
      <c r="AO95" s="79">
        <v>913</v>
      </c>
      <c r="AP95" s="79">
        <v>893</v>
      </c>
      <c r="AQ95" s="79">
        <v>1078.5899999999999</v>
      </c>
      <c r="AR95" s="80">
        <v>1160.3400000000001</v>
      </c>
      <c r="AS95" s="81">
        <v>1161.1799999999998</v>
      </c>
      <c r="AT95" s="79">
        <v>1226.1100000000001</v>
      </c>
      <c r="AU95" s="79">
        <v>1107.6500000000001</v>
      </c>
      <c r="AV95" s="80">
        <v>973.23</v>
      </c>
      <c r="AW95" s="81">
        <v>1638.4499999999998</v>
      </c>
      <c r="AX95" s="79">
        <v>1353.59</v>
      </c>
      <c r="AY95" s="79">
        <v>1470.55</v>
      </c>
      <c r="AZ95" s="82">
        <v>1021.46</v>
      </c>
      <c r="BA95" s="83">
        <v>1621.28</v>
      </c>
      <c r="BB95" s="83">
        <v>1616.2800000000002</v>
      </c>
      <c r="BC95" s="83">
        <v>1635.2699999999998</v>
      </c>
      <c r="BD95" s="82">
        <v>1639.8500000000001</v>
      </c>
      <c r="BE95" s="83">
        <v>1785.33</v>
      </c>
      <c r="BF95" s="83">
        <v>1782.94</v>
      </c>
      <c r="BG95" s="83">
        <v>1897.09</v>
      </c>
      <c r="BH95" s="82">
        <v>1812.5200000000002</v>
      </c>
      <c r="BI95" s="84">
        <v>1684.6100000000001</v>
      </c>
      <c r="BJ95" s="84">
        <v>1818.28</v>
      </c>
      <c r="BK95" s="84">
        <v>1524.1</v>
      </c>
      <c r="BL95" s="85">
        <v>1876.8899999999999</v>
      </c>
      <c r="BM95" s="86">
        <v>1603.4399999999998</v>
      </c>
      <c r="BN95" s="86">
        <v>1661.7199999999998</v>
      </c>
      <c r="BO95" s="86">
        <v>1445</v>
      </c>
      <c r="BP95" s="85">
        <v>1434.54</v>
      </c>
      <c r="BQ95" s="87">
        <v>1757.7</v>
      </c>
      <c r="BR95" s="87">
        <v>1762.31</v>
      </c>
      <c r="BS95" s="87">
        <v>1666.82</v>
      </c>
      <c r="BT95" s="85">
        <v>1632.7600000000002</v>
      </c>
      <c r="BU95" s="87">
        <v>1662.95</v>
      </c>
      <c r="BV95" s="87">
        <v>1726.1789999999999</v>
      </c>
      <c r="BW95" s="87">
        <v>4517.7599999999993</v>
      </c>
      <c r="BX95" s="85">
        <v>8886.1299999999992</v>
      </c>
      <c r="BY95" s="87">
        <v>1170.95</v>
      </c>
      <c r="BZ95" s="87">
        <v>1560.72</v>
      </c>
      <c r="CA95" s="87">
        <v>1353.2600000000002</v>
      </c>
      <c r="CB95" s="85">
        <v>1533.4259999999999</v>
      </c>
      <c r="CC95" s="87">
        <v>1575.7379999999998</v>
      </c>
      <c r="CD95" s="87">
        <v>1738.39</v>
      </c>
      <c r="CE95" s="87">
        <v>1369.55</v>
      </c>
      <c r="CF95" s="85">
        <v>1603.1420000000001</v>
      </c>
      <c r="CG95" s="86">
        <v>1767.5919999999999</v>
      </c>
      <c r="CH95" s="88">
        <v>1699.4</v>
      </c>
      <c r="CI95" s="89">
        <v>1392.1918499999999</v>
      </c>
      <c r="CJ95" s="85">
        <v>1605.41</v>
      </c>
      <c r="CK95" s="86">
        <v>1350.24</v>
      </c>
      <c r="CL95" s="88">
        <v>1971.06</v>
      </c>
      <c r="CM95" s="89">
        <v>1645.2900000000002</v>
      </c>
      <c r="CN95" s="85">
        <v>8075.2199999999993</v>
      </c>
      <c r="CO95" s="86">
        <v>1854.1299999999997</v>
      </c>
      <c r="CP95" s="88">
        <v>2222.6469999999999</v>
      </c>
      <c r="CQ95" s="89">
        <v>2009.8619999999999</v>
      </c>
      <c r="CR95" s="85">
        <v>2150.4720000000002</v>
      </c>
      <c r="CS95" s="86">
        <v>2508.6480000000001</v>
      </c>
      <c r="CT95" s="88">
        <v>1845.9870000000001</v>
      </c>
      <c r="CU95" s="89">
        <v>1484.557</v>
      </c>
      <c r="CV95" s="85">
        <v>1646.8520000000001</v>
      </c>
      <c r="CW95" s="86">
        <v>1858.1849999999999</v>
      </c>
      <c r="CX95" s="88">
        <v>1882.2149999999999</v>
      </c>
      <c r="CY95" s="89">
        <v>1669.7370000000001</v>
      </c>
      <c r="CZ95" s="86">
        <v>1771.502</v>
      </c>
      <c r="DA95" s="86">
        <v>1932.8119999999999</v>
      </c>
      <c r="DB95" s="86">
        <v>1889.7949999999998</v>
      </c>
      <c r="DC95" s="89">
        <v>1584.317</v>
      </c>
      <c r="DD95" s="86">
        <v>1844.22</v>
      </c>
      <c r="DE95" s="86">
        <v>1872.422</v>
      </c>
      <c r="DF95" s="86">
        <v>1254.597</v>
      </c>
      <c r="DG95" s="89">
        <v>1288.3130000000001</v>
      </c>
      <c r="DH95" s="150"/>
      <c r="DI95" s="150"/>
      <c r="DJ95" s="150"/>
      <c r="DK95" s="150"/>
    </row>
    <row r="96" spans="1:115" s="64" customFormat="1" x14ac:dyDescent="0.3">
      <c r="A96" s="33" t="s">
        <v>25</v>
      </c>
      <c r="B96" s="79" t="s">
        <v>93</v>
      </c>
      <c r="C96" s="79" t="s">
        <v>93</v>
      </c>
      <c r="D96" s="80" t="s">
        <v>93</v>
      </c>
      <c r="E96" s="79" t="s">
        <v>93</v>
      </c>
      <c r="F96" s="79" t="s">
        <v>93</v>
      </c>
      <c r="G96" s="79" t="s">
        <v>93</v>
      </c>
      <c r="H96" s="80" t="s">
        <v>93</v>
      </c>
      <c r="I96" s="79" t="s">
        <v>93</v>
      </c>
      <c r="J96" s="79" t="s">
        <v>93</v>
      </c>
      <c r="K96" s="79" t="s">
        <v>93</v>
      </c>
      <c r="L96" s="80">
        <v>0</v>
      </c>
      <c r="M96" s="79">
        <v>163.52000000000001</v>
      </c>
      <c r="N96" s="79">
        <v>107.74000000000001</v>
      </c>
      <c r="O96" s="79">
        <v>69.34</v>
      </c>
      <c r="P96" s="80">
        <v>337.23</v>
      </c>
      <c r="Q96" s="79">
        <v>185.85</v>
      </c>
      <c r="R96" s="79">
        <v>72.81</v>
      </c>
      <c r="S96" s="79">
        <v>198.39000000000001</v>
      </c>
      <c r="T96" s="80">
        <v>659.75</v>
      </c>
      <c r="U96" s="79">
        <v>234.71999999999997</v>
      </c>
      <c r="V96" s="79">
        <v>231.06</v>
      </c>
      <c r="W96" s="79">
        <v>318.39999999999998</v>
      </c>
      <c r="X96" s="80">
        <v>530.19000000000005</v>
      </c>
      <c r="Y96" s="79">
        <v>186.38</v>
      </c>
      <c r="Z96" s="79">
        <v>382.28</v>
      </c>
      <c r="AA96" s="79">
        <v>351.95699999999999</v>
      </c>
      <c r="AB96" s="80">
        <v>201.95</v>
      </c>
      <c r="AC96" s="79">
        <v>387.78999999999996</v>
      </c>
      <c r="AD96" s="79">
        <v>359.44</v>
      </c>
      <c r="AE96" s="79">
        <v>701.16000000000008</v>
      </c>
      <c r="AF96" s="80">
        <v>784.2</v>
      </c>
      <c r="AG96" s="79">
        <v>478.84999999999997</v>
      </c>
      <c r="AH96" s="79">
        <v>442.57</v>
      </c>
      <c r="AI96" s="79">
        <v>226.71</v>
      </c>
      <c r="AJ96" s="80">
        <v>813.84</v>
      </c>
      <c r="AK96" s="79">
        <v>349.43</v>
      </c>
      <c r="AL96" s="79">
        <v>127.13</v>
      </c>
      <c r="AM96" s="79">
        <v>411.55</v>
      </c>
      <c r="AN96" s="80">
        <v>792.63</v>
      </c>
      <c r="AO96" s="79">
        <v>582.58000000000004</v>
      </c>
      <c r="AP96" s="79">
        <v>180.68</v>
      </c>
      <c r="AQ96" s="79">
        <v>278.18999999999994</v>
      </c>
      <c r="AR96" s="80">
        <v>1038.95</v>
      </c>
      <c r="AS96" s="81">
        <v>593.78</v>
      </c>
      <c r="AT96" s="79">
        <v>368.71</v>
      </c>
      <c r="AU96" s="79">
        <v>665.19</v>
      </c>
      <c r="AV96" s="80">
        <v>2071.34</v>
      </c>
      <c r="AW96" s="81">
        <v>695.56</v>
      </c>
      <c r="AX96" s="79">
        <v>1435.82</v>
      </c>
      <c r="AY96" s="79">
        <v>542.47</v>
      </c>
      <c r="AZ96" s="82">
        <v>2761.45</v>
      </c>
      <c r="BA96" s="83">
        <v>964.65</v>
      </c>
      <c r="BB96" s="83">
        <v>1246.04</v>
      </c>
      <c r="BC96" s="83">
        <v>1319.73</v>
      </c>
      <c r="BD96" s="82">
        <v>2286.61</v>
      </c>
      <c r="BE96" s="83">
        <v>1445.61</v>
      </c>
      <c r="BF96" s="83">
        <v>1105.96</v>
      </c>
      <c r="BG96" s="83">
        <v>548.39</v>
      </c>
      <c r="BH96" s="82">
        <v>3149.57</v>
      </c>
      <c r="BI96" s="84">
        <v>1199.43</v>
      </c>
      <c r="BJ96" s="84">
        <v>756.89</v>
      </c>
      <c r="BK96" s="84">
        <v>2634.06</v>
      </c>
      <c r="BL96" s="85">
        <v>4291.95</v>
      </c>
      <c r="BM96" s="86">
        <v>2323.3700000000003</v>
      </c>
      <c r="BN96" s="86">
        <v>878.43</v>
      </c>
      <c r="BO96" s="86">
        <v>1919.02</v>
      </c>
      <c r="BP96" s="85">
        <v>3433.5299999999997</v>
      </c>
      <c r="BQ96" s="87">
        <v>2327.06</v>
      </c>
      <c r="BR96" s="87">
        <v>1060.01</v>
      </c>
      <c r="BS96" s="87">
        <v>2594.13</v>
      </c>
      <c r="BT96" s="85">
        <v>4996.1900000000005</v>
      </c>
      <c r="BU96" s="87">
        <v>2501.5099999999998</v>
      </c>
      <c r="BV96" s="87">
        <v>1994.5699999999997</v>
      </c>
      <c r="BW96" s="87">
        <v>4366.74</v>
      </c>
      <c r="BX96" s="85">
        <v>4368.3310000000001</v>
      </c>
      <c r="BY96" s="87">
        <v>5364.6239999999998</v>
      </c>
      <c r="BZ96" s="87">
        <v>2684.0099999999998</v>
      </c>
      <c r="CA96" s="87">
        <v>4124.43</v>
      </c>
      <c r="CB96" s="85">
        <v>6658.04</v>
      </c>
      <c r="CC96" s="87">
        <v>4526.0599999999995</v>
      </c>
      <c r="CD96" s="87">
        <v>2161.48</v>
      </c>
      <c r="CE96" s="87">
        <v>4590.04</v>
      </c>
      <c r="CF96" s="85">
        <v>6040.3359999999993</v>
      </c>
      <c r="CG96" s="86">
        <v>4928.6040000000003</v>
      </c>
      <c r="CH96" s="88">
        <v>2170.19</v>
      </c>
      <c r="CI96" s="89">
        <v>6543.4949999999999</v>
      </c>
      <c r="CJ96" s="85">
        <v>7701.03</v>
      </c>
      <c r="CK96" s="86">
        <v>7388.7000000000007</v>
      </c>
      <c r="CL96" s="88">
        <v>3420.41</v>
      </c>
      <c r="CM96" s="89">
        <v>7629.93</v>
      </c>
      <c r="CN96" s="85">
        <v>9940.5499999999993</v>
      </c>
      <c r="CO96" s="86">
        <v>5968.5</v>
      </c>
      <c r="CP96" s="88">
        <v>3797.9040000000005</v>
      </c>
      <c r="CQ96" s="89">
        <v>6406.2939999999999</v>
      </c>
      <c r="CR96" s="85">
        <v>7582.6</v>
      </c>
      <c r="CS96" s="86">
        <v>5561.5010000000002</v>
      </c>
      <c r="CT96" s="88">
        <v>6883.5619999999999</v>
      </c>
      <c r="CU96" s="89">
        <v>5401.3969999999999</v>
      </c>
      <c r="CV96" s="85">
        <v>11127.446</v>
      </c>
      <c r="CW96" s="86">
        <v>6791.6120000000001</v>
      </c>
      <c r="CX96" s="88">
        <v>2917.5059999999999</v>
      </c>
      <c r="CY96" s="89">
        <v>8877.5329999999994</v>
      </c>
      <c r="CZ96" s="86">
        <v>8715.2139999999999</v>
      </c>
      <c r="DA96" s="86">
        <v>6161.43</v>
      </c>
      <c r="DB96" s="86">
        <v>5727.7330000000002</v>
      </c>
      <c r="DC96" s="89">
        <v>6976.5529999999999</v>
      </c>
      <c r="DD96" s="86">
        <v>10641.972000000002</v>
      </c>
      <c r="DE96" s="86">
        <v>6336.8990000000003</v>
      </c>
      <c r="DF96" s="86">
        <v>4415.5036</v>
      </c>
      <c r="DG96" s="89">
        <v>9357.9503100000002</v>
      </c>
      <c r="DH96" s="150"/>
      <c r="DI96" s="150"/>
      <c r="DJ96" s="150"/>
      <c r="DK96" s="150"/>
    </row>
    <row r="97" spans="1:115" s="64" customFormat="1" x14ac:dyDescent="0.3">
      <c r="A97" s="33" t="s">
        <v>36</v>
      </c>
      <c r="B97" s="79" t="s">
        <v>93</v>
      </c>
      <c r="C97" s="79" t="s">
        <v>93</v>
      </c>
      <c r="D97" s="80" t="s">
        <v>93</v>
      </c>
      <c r="E97" s="79" t="s">
        <v>93</v>
      </c>
      <c r="F97" s="79" t="s">
        <v>93</v>
      </c>
      <c r="G97" s="79" t="s">
        <v>93</v>
      </c>
      <c r="H97" s="80" t="s">
        <v>93</v>
      </c>
      <c r="I97" s="79" t="s">
        <v>93</v>
      </c>
      <c r="J97" s="79" t="s">
        <v>93</v>
      </c>
      <c r="K97" s="79" t="s">
        <v>93</v>
      </c>
      <c r="L97" s="80" t="s">
        <v>93</v>
      </c>
      <c r="M97" s="79" t="s">
        <v>93</v>
      </c>
      <c r="N97" s="79" t="s">
        <v>93</v>
      </c>
      <c r="O97" s="79" t="s">
        <v>93</v>
      </c>
      <c r="P97" s="80" t="s">
        <v>93</v>
      </c>
      <c r="Q97" s="79" t="s">
        <v>93</v>
      </c>
      <c r="R97" s="79" t="s">
        <v>93</v>
      </c>
      <c r="S97" s="79" t="s">
        <v>93</v>
      </c>
      <c r="T97" s="80" t="s">
        <v>93</v>
      </c>
      <c r="U97" s="79" t="s">
        <v>93</v>
      </c>
      <c r="V97" s="79" t="s">
        <v>93</v>
      </c>
      <c r="W97" s="79" t="s">
        <v>93</v>
      </c>
      <c r="X97" s="80" t="s">
        <v>93</v>
      </c>
      <c r="Y97" s="79" t="s">
        <v>93</v>
      </c>
      <c r="Z97" s="79" t="s">
        <v>93</v>
      </c>
      <c r="AA97" s="79" t="s">
        <v>93</v>
      </c>
      <c r="AB97" s="80" t="s">
        <v>93</v>
      </c>
      <c r="AC97" s="79" t="s">
        <v>93</v>
      </c>
      <c r="AD97" s="79" t="s">
        <v>93</v>
      </c>
      <c r="AE97" s="79" t="s">
        <v>93</v>
      </c>
      <c r="AF97" s="80" t="s">
        <v>93</v>
      </c>
      <c r="AG97" s="79" t="s">
        <v>93</v>
      </c>
      <c r="AH97" s="79" t="s">
        <v>93</v>
      </c>
      <c r="AI97" s="79" t="s">
        <v>93</v>
      </c>
      <c r="AJ97" s="80" t="s">
        <v>93</v>
      </c>
      <c r="AK97" s="79" t="s">
        <v>93</v>
      </c>
      <c r="AL97" s="79" t="s">
        <v>93</v>
      </c>
      <c r="AM97" s="79" t="s">
        <v>93</v>
      </c>
      <c r="AN97" s="80" t="s">
        <v>93</v>
      </c>
      <c r="AO97" s="79" t="s">
        <v>93</v>
      </c>
      <c r="AP97" s="79" t="s">
        <v>93</v>
      </c>
      <c r="AQ97" s="79" t="s">
        <v>93</v>
      </c>
      <c r="AR97" s="80" t="s">
        <v>93</v>
      </c>
      <c r="AS97" s="81" t="s">
        <v>93</v>
      </c>
      <c r="AT97" s="79" t="s">
        <v>93</v>
      </c>
      <c r="AU97" s="79" t="s">
        <v>93</v>
      </c>
      <c r="AV97" s="80" t="s">
        <v>93</v>
      </c>
      <c r="AW97" s="81" t="s">
        <v>93</v>
      </c>
      <c r="AX97" s="79" t="s">
        <v>93</v>
      </c>
      <c r="AY97" s="79" t="s">
        <v>93</v>
      </c>
      <c r="AZ97" s="82" t="s">
        <v>93</v>
      </c>
      <c r="BA97" s="83" t="s">
        <v>93</v>
      </c>
      <c r="BB97" s="83" t="s">
        <v>93</v>
      </c>
      <c r="BC97" s="83" t="s">
        <v>93</v>
      </c>
      <c r="BD97" s="82" t="s">
        <v>93</v>
      </c>
      <c r="BE97" s="83" t="s">
        <v>93</v>
      </c>
      <c r="BF97" s="83" t="s">
        <v>93</v>
      </c>
      <c r="BG97" s="83" t="s">
        <v>93</v>
      </c>
      <c r="BH97" s="82" t="s">
        <v>93</v>
      </c>
      <c r="BI97" s="84" t="s">
        <v>93</v>
      </c>
      <c r="BJ97" s="84" t="s">
        <v>93</v>
      </c>
      <c r="BK97" s="84" t="s">
        <v>93</v>
      </c>
      <c r="BL97" s="85" t="s">
        <v>93</v>
      </c>
      <c r="BM97" s="86" t="s">
        <v>93</v>
      </c>
      <c r="BN97" s="86">
        <v>4708.53</v>
      </c>
      <c r="BO97" s="86">
        <v>23475.16</v>
      </c>
      <c r="BP97" s="85">
        <v>25377.73</v>
      </c>
      <c r="BQ97" s="87">
        <v>22589.02</v>
      </c>
      <c r="BR97" s="87">
        <v>20936.53</v>
      </c>
      <c r="BS97" s="87">
        <v>19944.47</v>
      </c>
      <c r="BT97" s="85">
        <v>24979.079999999998</v>
      </c>
      <c r="BU97" s="87">
        <v>21596.81</v>
      </c>
      <c r="BV97" s="87">
        <v>20263.475999999999</v>
      </c>
      <c r="BW97" s="87">
        <v>22500.83</v>
      </c>
      <c r="BX97" s="85">
        <v>22612.244999999999</v>
      </c>
      <c r="BY97" s="87">
        <v>27018.184000000001</v>
      </c>
      <c r="BZ97" s="87">
        <v>21893.200000000001</v>
      </c>
      <c r="CA97" s="87">
        <v>17943.13</v>
      </c>
      <c r="CB97" s="85">
        <v>29158.399999999998</v>
      </c>
      <c r="CC97" s="87">
        <v>35806.82</v>
      </c>
      <c r="CD97" s="87">
        <v>16640.05</v>
      </c>
      <c r="CE97" s="87">
        <v>24501.54</v>
      </c>
      <c r="CF97" s="85">
        <v>24071.705000000002</v>
      </c>
      <c r="CG97" s="86">
        <v>59010.5</v>
      </c>
      <c r="CH97" s="88">
        <v>43357.62</v>
      </c>
      <c r="CI97" s="89">
        <v>28627.460650000001</v>
      </c>
      <c r="CJ97" s="85">
        <v>35902.86</v>
      </c>
      <c r="CK97" s="86">
        <v>30815.82</v>
      </c>
      <c r="CL97" s="88">
        <v>26647.559999999998</v>
      </c>
      <c r="CM97" s="89">
        <v>30407.200000000001</v>
      </c>
      <c r="CN97" s="85">
        <v>28322.9247</v>
      </c>
      <c r="CO97" s="86">
        <v>27581.300000000003</v>
      </c>
      <c r="CP97" s="88">
        <v>25670.004000000001</v>
      </c>
      <c r="CQ97" s="89">
        <v>23467.201000000001</v>
      </c>
      <c r="CR97" s="85">
        <v>26076.577000000001</v>
      </c>
      <c r="CS97" s="86">
        <v>39696.148999999998</v>
      </c>
      <c r="CT97" s="88">
        <v>31318.15</v>
      </c>
      <c r="CU97" s="89">
        <v>18092.053</v>
      </c>
      <c r="CV97" s="85">
        <v>21824.868999999999</v>
      </c>
      <c r="CW97" s="86">
        <v>43015.773000000001</v>
      </c>
      <c r="CX97" s="88">
        <v>37594.233999999997</v>
      </c>
      <c r="CY97" s="89">
        <v>55214.016000000003</v>
      </c>
      <c r="CZ97" s="86">
        <v>32397.327000000001</v>
      </c>
      <c r="DA97" s="86">
        <v>49999.93</v>
      </c>
      <c r="DB97" s="86">
        <v>24631.060999999998</v>
      </c>
      <c r="DC97" s="89">
        <v>21107.022000000001</v>
      </c>
      <c r="DD97" s="86">
        <v>27886.896000000001</v>
      </c>
      <c r="DE97" s="86">
        <v>55100.596000000005</v>
      </c>
      <c r="DF97" s="86">
        <v>56011.305709999993</v>
      </c>
      <c r="DG97" s="89">
        <v>25274.233899999999</v>
      </c>
      <c r="DH97" s="150"/>
      <c r="DI97" s="150"/>
      <c r="DJ97" s="150"/>
      <c r="DK97" s="150"/>
    </row>
    <row r="98" spans="1:115" s="64" customFormat="1" x14ac:dyDescent="0.3">
      <c r="A98" s="33" t="s">
        <v>34</v>
      </c>
      <c r="B98" s="79" t="s">
        <v>93</v>
      </c>
      <c r="C98" s="79" t="s">
        <v>93</v>
      </c>
      <c r="D98" s="80" t="s">
        <v>93</v>
      </c>
      <c r="E98" s="79" t="s">
        <v>93</v>
      </c>
      <c r="F98" s="79" t="s">
        <v>93</v>
      </c>
      <c r="G98" s="79" t="s">
        <v>93</v>
      </c>
      <c r="H98" s="80" t="s">
        <v>93</v>
      </c>
      <c r="I98" s="79" t="s">
        <v>93</v>
      </c>
      <c r="J98" s="79" t="s">
        <v>93</v>
      </c>
      <c r="K98" s="79" t="s">
        <v>93</v>
      </c>
      <c r="L98" s="80" t="s">
        <v>93</v>
      </c>
      <c r="M98" s="79" t="s">
        <v>93</v>
      </c>
      <c r="N98" s="79" t="s">
        <v>93</v>
      </c>
      <c r="O98" s="79" t="s">
        <v>93</v>
      </c>
      <c r="P98" s="80" t="s">
        <v>93</v>
      </c>
      <c r="Q98" s="79" t="s">
        <v>93</v>
      </c>
      <c r="R98" s="79" t="s">
        <v>93</v>
      </c>
      <c r="S98" s="79" t="s">
        <v>93</v>
      </c>
      <c r="T98" s="80" t="s">
        <v>93</v>
      </c>
      <c r="U98" s="79" t="s">
        <v>93</v>
      </c>
      <c r="V98" s="79" t="s">
        <v>93</v>
      </c>
      <c r="W98" s="79" t="s">
        <v>93</v>
      </c>
      <c r="X98" s="80" t="s">
        <v>93</v>
      </c>
      <c r="Y98" s="79" t="s">
        <v>93</v>
      </c>
      <c r="Z98" s="79" t="s">
        <v>93</v>
      </c>
      <c r="AA98" s="79" t="s">
        <v>93</v>
      </c>
      <c r="AB98" s="80" t="s">
        <v>93</v>
      </c>
      <c r="AC98" s="79" t="s">
        <v>93</v>
      </c>
      <c r="AD98" s="79" t="s">
        <v>93</v>
      </c>
      <c r="AE98" s="79" t="s">
        <v>93</v>
      </c>
      <c r="AF98" s="80" t="s">
        <v>93</v>
      </c>
      <c r="AG98" s="79" t="s">
        <v>93</v>
      </c>
      <c r="AH98" s="79" t="s">
        <v>93</v>
      </c>
      <c r="AI98" s="79" t="s">
        <v>93</v>
      </c>
      <c r="AJ98" s="80" t="s">
        <v>93</v>
      </c>
      <c r="AK98" s="79" t="s">
        <v>93</v>
      </c>
      <c r="AL98" s="79" t="s">
        <v>93</v>
      </c>
      <c r="AM98" s="79" t="s">
        <v>93</v>
      </c>
      <c r="AN98" s="80" t="s">
        <v>93</v>
      </c>
      <c r="AO98" s="79" t="s">
        <v>93</v>
      </c>
      <c r="AP98" s="79" t="s">
        <v>93</v>
      </c>
      <c r="AQ98" s="79" t="s">
        <v>93</v>
      </c>
      <c r="AR98" s="80" t="s">
        <v>93</v>
      </c>
      <c r="AS98" s="81" t="s">
        <v>93</v>
      </c>
      <c r="AT98" s="79" t="s">
        <v>93</v>
      </c>
      <c r="AU98" s="79" t="s">
        <v>93</v>
      </c>
      <c r="AV98" s="80" t="s">
        <v>93</v>
      </c>
      <c r="AW98" s="81" t="s">
        <v>93</v>
      </c>
      <c r="AX98" s="79" t="s">
        <v>93</v>
      </c>
      <c r="AY98" s="79" t="s">
        <v>93</v>
      </c>
      <c r="AZ98" s="82" t="s">
        <v>93</v>
      </c>
      <c r="BA98" s="83" t="s">
        <v>93</v>
      </c>
      <c r="BB98" s="83" t="s">
        <v>93</v>
      </c>
      <c r="BC98" s="83" t="s">
        <v>93</v>
      </c>
      <c r="BD98" s="82" t="s">
        <v>93</v>
      </c>
      <c r="BE98" s="83" t="s">
        <v>93</v>
      </c>
      <c r="BF98" s="83" t="s">
        <v>93</v>
      </c>
      <c r="BG98" s="83" t="s">
        <v>93</v>
      </c>
      <c r="BH98" s="82" t="s">
        <v>93</v>
      </c>
      <c r="BI98" s="84" t="s">
        <v>93</v>
      </c>
      <c r="BJ98" s="84" t="s">
        <v>93</v>
      </c>
      <c r="BK98" s="84" t="s">
        <v>93</v>
      </c>
      <c r="BL98" s="85" t="s">
        <v>93</v>
      </c>
      <c r="BM98" s="86" t="s">
        <v>93</v>
      </c>
      <c r="BN98" s="86">
        <v>2493.59</v>
      </c>
      <c r="BO98" s="86">
        <v>8431.26</v>
      </c>
      <c r="BP98" s="85">
        <v>3402.56</v>
      </c>
      <c r="BQ98" s="87">
        <v>4213.01</v>
      </c>
      <c r="BR98" s="87">
        <v>4890.34</v>
      </c>
      <c r="BS98" s="87">
        <v>9635.7900000000009</v>
      </c>
      <c r="BT98" s="85">
        <v>8102.9500000000007</v>
      </c>
      <c r="BU98" s="87">
        <v>8207.7000000000007</v>
      </c>
      <c r="BV98" s="87">
        <v>8519.27</v>
      </c>
      <c r="BW98" s="87">
        <v>12106.990000000002</v>
      </c>
      <c r="BX98" s="85">
        <v>8198.0840000000007</v>
      </c>
      <c r="BY98" s="87">
        <v>10829.48</v>
      </c>
      <c r="BZ98" s="87">
        <v>6713.7999999999993</v>
      </c>
      <c r="CA98" s="87">
        <v>8511.619999999999</v>
      </c>
      <c r="CB98" s="85">
        <v>7391.33</v>
      </c>
      <c r="CC98" s="87">
        <v>8683.4500000000007</v>
      </c>
      <c r="CD98" s="87">
        <v>10618.54</v>
      </c>
      <c r="CE98" s="87">
        <v>12083.64</v>
      </c>
      <c r="CF98" s="85">
        <v>11695.194</v>
      </c>
      <c r="CG98" s="86">
        <v>18730.048999999999</v>
      </c>
      <c r="CH98" s="88">
        <v>19216</v>
      </c>
      <c r="CI98" s="89">
        <v>20370.283640000001</v>
      </c>
      <c r="CJ98" s="85">
        <v>14080.54</v>
      </c>
      <c r="CK98" s="86">
        <v>22381.83</v>
      </c>
      <c r="CL98" s="88">
        <v>16514.93</v>
      </c>
      <c r="CM98" s="89">
        <v>18174.98</v>
      </c>
      <c r="CN98" s="85">
        <v>12056.710999999999</v>
      </c>
      <c r="CO98" s="86">
        <v>12257.429999999998</v>
      </c>
      <c r="CP98" s="88">
        <v>15230.726000000002</v>
      </c>
      <c r="CQ98" s="89">
        <v>15254.124</v>
      </c>
      <c r="CR98" s="85">
        <v>12127.123</v>
      </c>
      <c r="CS98" s="86">
        <v>11215.311</v>
      </c>
      <c r="CT98" s="88">
        <v>13984.657000000001</v>
      </c>
      <c r="CU98" s="89">
        <v>10815.088</v>
      </c>
      <c r="CV98" s="85">
        <v>12221.323</v>
      </c>
      <c r="CW98" s="86">
        <v>13491.329000000002</v>
      </c>
      <c r="CX98" s="88">
        <v>10440.242</v>
      </c>
      <c r="CY98" s="89">
        <v>9234.7250000000004</v>
      </c>
      <c r="CZ98" s="86">
        <v>11642.105</v>
      </c>
      <c r="DA98" s="86">
        <v>15778.423999999999</v>
      </c>
      <c r="DB98" s="86">
        <v>14501.597</v>
      </c>
      <c r="DC98" s="89">
        <v>12232.648099999999</v>
      </c>
      <c r="DD98" s="86">
        <v>12705.396999999999</v>
      </c>
      <c r="DE98" s="86">
        <v>17566.298999999999</v>
      </c>
      <c r="DF98" s="86">
        <v>13551.233399999997</v>
      </c>
      <c r="DG98" s="89">
        <v>8841.464469999999</v>
      </c>
      <c r="DH98" s="150"/>
      <c r="DI98" s="150"/>
      <c r="DJ98" s="150"/>
      <c r="DK98" s="150"/>
    </row>
    <row r="99" spans="1:115" s="64" customFormat="1" x14ac:dyDescent="0.3">
      <c r="A99" s="33" t="s">
        <v>152</v>
      </c>
      <c r="B99" s="79" t="s">
        <v>93</v>
      </c>
      <c r="C99" s="79" t="s">
        <v>93</v>
      </c>
      <c r="D99" s="80" t="s">
        <v>93</v>
      </c>
      <c r="E99" s="79" t="s">
        <v>93</v>
      </c>
      <c r="F99" s="79" t="s">
        <v>93</v>
      </c>
      <c r="G99" s="79" t="s">
        <v>93</v>
      </c>
      <c r="H99" s="80" t="s">
        <v>93</v>
      </c>
      <c r="I99" s="79" t="s">
        <v>93</v>
      </c>
      <c r="J99" s="79" t="s">
        <v>93</v>
      </c>
      <c r="K99" s="79" t="s">
        <v>93</v>
      </c>
      <c r="L99" s="80" t="s">
        <v>93</v>
      </c>
      <c r="M99" s="79" t="s">
        <v>93</v>
      </c>
      <c r="N99" s="79">
        <v>0</v>
      </c>
      <c r="O99" s="79">
        <v>28.93</v>
      </c>
      <c r="P99" s="80">
        <v>0</v>
      </c>
      <c r="Q99" s="79">
        <v>0.18</v>
      </c>
      <c r="R99" s="79">
        <v>0</v>
      </c>
      <c r="S99" s="79">
        <v>0</v>
      </c>
      <c r="T99" s="80">
        <v>13.9</v>
      </c>
      <c r="U99" s="79">
        <v>0</v>
      </c>
      <c r="V99" s="79">
        <v>0</v>
      </c>
      <c r="W99" s="79">
        <v>17.23</v>
      </c>
      <c r="X99" s="80">
        <v>2.29</v>
      </c>
      <c r="Y99" s="79">
        <v>0.08</v>
      </c>
      <c r="Z99" s="79">
        <v>0</v>
      </c>
      <c r="AA99" s="79">
        <v>0</v>
      </c>
      <c r="AB99" s="80">
        <v>18</v>
      </c>
      <c r="AC99" s="79">
        <v>18</v>
      </c>
      <c r="AD99" s="79">
        <v>0</v>
      </c>
      <c r="AE99" s="79">
        <v>26.42</v>
      </c>
      <c r="AF99" s="80">
        <v>1</v>
      </c>
      <c r="AG99" s="79">
        <v>0</v>
      </c>
      <c r="AH99" s="79">
        <v>1</v>
      </c>
      <c r="AI99" s="79">
        <v>3</v>
      </c>
      <c r="AJ99" s="80">
        <v>0</v>
      </c>
      <c r="AK99" s="79">
        <v>0</v>
      </c>
      <c r="AL99" s="79">
        <v>3</v>
      </c>
      <c r="AM99" s="79">
        <v>25</v>
      </c>
      <c r="AN99" s="80">
        <v>0</v>
      </c>
      <c r="AO99" s="79">
        <v>78.650000000000006</v>
      </c>
      <c r="AP99" s="79">
        <v>55.76</v>
      </c>
      <c r="AQ99" s="79">
        <v>18</v>
      </c>
      <c r="AR99" s="80">
        <v>52.962000000000003</v>
      </c>
      <c r="AS99" s="81">
        <v>12.067</v>
      </c>
      <c r="AT99" s="79">
        <v>31.895000000000003</v>
      </c>
      <c r="AU99" s="79">
        <v>6.8079999999999998</v>
      </c>
      <c r="AV99" s="80">
        <v>16.45</v>
      </c>
      <c r="AW99" s="81">
        <v>11.79</v>
      </c>
      <c r="AX99" s="79">
        <v>54.18</v>
      </c>
      <c r="AY99" s="79">
        <v>5.4700000000000006</v>
      </c>
      <c r="AZ99" s="82">
        <v>3747.27</v>
      </c>
      <c r="BA99" s="83">
        <v>1567</v>
      </c>
      <c r="BB99" s="83">
        <v>24055</v>
      </c>
      <c r="BC99" s="83">
        <v>16825.310000000001</v>
      </c>
      <c r="BD99" s="82">
        <v>21525</v>
      </c>
      <c r="BE99" s="83">
        <v>19894.02</v>
      </c>
      <c r="BF99" s="83">
        <v>42609</v>
      </c>
      <c r="BG99" s="83">
        <v>147448</v>
      </c>
      <c r="BH99" s="82">
        <v>107904</v>
      </c>
      <c r="BI99" s="84">
        <v>20140</v>
      </c>
      <c r="BJ99" s="84">
        <v>50071</v>
      </c>
      <c r="BK99" s="84">
        <v>59024</v>
      </c>
      <c r="BL99" s="85">
        <v>57236.29</v>
      </c>
      <c r="BM99" s="86">
        <v>146924</v>
      </c>
      <c r="BN99" s="86">
        <v>52550.41</v>
      </c>
      <c r="BO99" s="86">
        <v>94374.99</v>
      </c>
      <c r="BP99" s="85">
        <v>12646.22</v>
      </c>
      <c r="BQ99" s="87">
        <v>97695</v>
      </c>
      <c r="BR99" s="87">
        <v>9298</v>
      </c>
      <c r="BS99" s="87">
        <v>40471</v>
      </c>
      <c r="BT99" s="85">
        <v>85827</v>
      </c>
      <c r="BU99" s="87">
        <v>34889</v>
      </c>
      <c r="BV99" s="87">
        <v>51309</v>
      </c>
      <c r="BW99" s="87">
        <v>88038</v>
      </c>
      <c r="BX99" s="85">
        <v>63522</v>
      </c>
      <c r="BY99" s="87">
        <v>68747</v>
      </c>
      <c r="BZ99" s="87">
        <v>39687</v>
      </c>
      <c r="CA99" s="87">
        <v>58153</v>
      </c>
      <c r="CB99" s="85">
        <v>45062</v>
      </c>
      <c r="CC99" s="87">
        <v>17220.650000000001</v>
      </c>
      <c r="CD99" s="87">
        <v>26229.65</v>
      </c>
      <c r="CE99" s="87">
        <v>45205.95</v>
      </c>
      <c r="CF99" s="85">
        <v>28767</v>
      </c>
      <c r="CG99" s="86">
        <v>46659.5</v>
      </c>
      <c r="CH99" s="86" t="s">
        <v>93</v>
      </c>
      <c r="CI99" s="89" t="s">
        <v>93</v>
      </c>
      <c r="CJ99" s="85" t="s">
        <v>93</v>
      </c>
      <c r="CK99" s="86" t="s">
        <v>93</v>
      </c>
      <c r="CL99" s="88">
        <v>645</v>
      </c>
      <c r="CM99" s="89">
        <v>0</v>
      </c>
      <c r="CN99" s="85">
        <v>0</v>
      </c>
      <c r="CO99" s="86">
        <v>4677</v>
      </c>
      <c r="CP99" s="88">
        <v>24615</v>
      </c>
      <c r="CQ99" s="89">
        <v>12136</v>
      </c>
      <c r="CR99" s="85">
        <v>12908</v>
      </c>
      <c r="CS99" s="86">
        <v>14613</v>
      </c>
      <c r="CT99" s="88">
        <v>18002</v>
      </c>
      <c r="CU99" s="89">
        <v>12318</v>
      </c>
      <c r="CV99" s="85">
        <v>14075</v>
      </c>
      <c r="CW99" s="86">
        <v>6265</v>
      </c>
      <c r="CX99" s="88">
        <v>2156</v>
      </c>
      <c r="CY99" s="89">
        <v>1918</v>
      </c>
      <c r="CZ99" s="86">
        <v>7585</v>
      </c>
      <c r="DA99" s="86">
        <v>12032</v>
      </c>
      <c r="DB99" s="86">
        <v>7868</v>
      </c>
      <c r="DC99" s="89">
        <v>9941</v>
      </c>
      <c r="DD99" s="86">
        <v>1760</v>
      </c>
      <c r="DE99" s="86">
        <v>2580</v>
      </c>
      <c r="DF99" s="86">
        <v>3015</v>
      </c>
      <c r="DG99" s="89">
        <v>14322</v>
      </c>
      <c r="DH99" s="150"/>
      <c r="DI99" s="150"/>
      <c r="DJ99" s="150"/>
      <c r="DK99" s="150"/>
    </row>
    <row r="100" spans="1:115" s="64" customFormat="1" x14ac:dyDescent="0.3">
      <c r="A100" s="33" t="s">
        <v>99</v>
      </c>
      <c r="B100" s="79">
        <v>0.18</v>
      </c>
      <c r="C100" s="79">
        <v>0.14599999999999999</v>
      </c>
      <c r="D100" s="80" t="s">
        <v>93</v>
      </c>
      <c r="E100" s="79" t="s">
        <v>93</v>
      </c>
      <c r="F100" s="79" t="s">
        <v>93</v>
      </c>
      <c r="G100" s="79" t="s">
        <v>93</v>
      </c>
      <c r="H100" s="80" t="s">
        <v>93</v>
      </c>
      <c r="I100" s="79" t="s">
        <v>93</v>
      </c>
      <c r="J100" s="79" t="s">
        <v>93</v>
      </c>
      <c r="K100" s="79" t="s">
        <v>93</v>
      </c>
      <c r="L100" s="80" t="s">
        <v>93</v>
      </c>
      <c r="M100" s="79" t="s">
        <v>93</v>
      </c>
      <c r="N100" s="79">
        <v>0</v>
      </c>
      <c r="O100" s="79">
        <v>0</v>
      </c>
      <c r="P100" s="80">
        <v>0.69095699999999993</v>
      </c>
      <c r="Q100" s="79">
        <v>0</v>
      </c>
      <c r="R100" s="79">
        <v>414.75800000000004</v>
      </c>
      <c r="S100" s="79">
        <v>489.411</v>
      </c>
      <c r="T100" s="80">
        <v>851.54</v>
      </c>
      <c r="U100" s="79">
        <v>902.29</v>
      </c>
      <c r="V100" s="79">
        <v>1098.51</v>
      </c>
      <c r="W100" s="79">
        <v>353.40999999999997</v>
      </c>
      <c r="X100" s="80">
        <v>2895.5</v>
      </c>
      <c r="Y100" s="79">
        <v>3694.84</v>
      </c>
      <c r="Z100" s="79">
        <v>1039.5</v>
      </c>
      <c r="AA100" s="79">
        <v>151.18</v>
      </c>
      <c r="AB100" s="80">
        <v>1172</v>
      </c>
      <c r="AC100" s="79">
        <v>376</v>
      </c>
      <c r="AD100" s="79">
        <v>255</v>
      </c>
      <c r="AE100" s="79">
        <v>329</v>
      </c>
      <c r="AF100" s="80">
        <v>1461.95</v>
      </c>
      <c r="AG100" s="79">
        <v>1320.38</v>
      </c>
      <c r="AH100" s="79">
        <v>1506</v>
      </c>
      <c r="AI100" s="79">
        <v>343</v>
      </c>
      <c r="AJ100" s="80">
        <v>0</v>
      </c>
      <c r="AK100" s="79">
        <v>0</v>
      </c>
      <c r="AL100" s="79">
        <v>1328</v>
      </c>
      <c r="AM100" s="79">
        <v>2058</v>
      </c>
      <c r="AN100" s="80">
        <v>1798</v>
      </c>
      <c r="AO100" s="79">
        <v>1871</v>
      </c>
      <c r="AP100" s="79">
        <v>1122</v>
      </c>
      <c r="AQ100" s="79">
        <v>1850</v>
      </c>
      <c r="AR100" s="80">
        <v>1778</v>
      </c>
      <c r="AS100" s="81">
        <v>2206</v>
      </c>
      <c r="AT100" s="79">
        <v>1807</v>
      </c>
      <c r="AU100" s="79">
        <v>1320</v>
      </c>
      <c r="AV100" s="80">
        <v>1040.5</v>
      </c>
      <c r="AW100" s="81">
        <v>1300</v>
      </c>
      <c r="AX100" s="79">
        <v>741.49</v>
      </c>
      <c r="AY100" s="79">
        <v>1212.0999999999999</v>
      </c>
      <c r="AZ100" s="82">
        <v>1347</v>
      </c>
      <c r="BA100" s="83">
        <v>1809</v>
      </c>
      <c r="BB100" s="83">
        <v>1825</v>
      </c>
      <c r="BC100" s="83">
        <v>1876</v>
      </c>
      <c r="BD100" s="82">
        <v>781</v>
      </c>
      <c r="BE100" s="83">
        <v>1944</v>
      </c>
      <c r="BF100" s="83">
        <v>1642</v>
      </c>
      <c r="BG100" s="83">
        <v>1494</v>
      </c>
      <c r="BH100" s="82">
        <v>1659</v>
      </c>
      <c r="BI100" s="84">
        <v>1782</v>
      </c>
      <c r="BJ100" s="84">
        <v>1723</v>
      </c>
      <c r="BK100" s="84">
        <v>1757</v>
      </c>
      <c r="BL100" s="85">
        <v>1885</v>
      </c>
      <c r="BM100" s="86">
        <v>1680</v>
      </c>
      <c r="BN100" s="86">
        <v>510</v>
      </c>
      <c r="BO100" s="86">
        <v>232</v>
      </c>
      <c r="BP100" s="85">
        <v>333</v>
      </c>
      <c r="BQ100" s="87">
        <v>329.47</v>
      </c>
      <c r="BR100" s="87">
        <v>514</v>
      </c>
      <c r="BS100" s="87">
        <v>270</v>
      </c>
      <c r="BT100" s="85">
        <v>210</v>
      </c>
      <c r="BU100" s="87">
        <v>181</v>
      </c>
      <c r="BV100" s="87">
        <v>348</v>
      </c>
      <c r="BW100" s="87">
        <v>136.9</v>
      </c>
      <c r="BX100" s="85">
        <v>357.65999999999997</v>
      </c>
      <c r="BY100" s="87">
        <v>956.78</v>
      </c>
      <c r="BZ100" s="87">
        <v>59</v>
      </c>
      <c r="CA100" s="87">
        <v>70</v>
      </c>
      <c r="CB100" s="85">
        <v>31.490000000000002</v>
      </c>
      <c r="CC100" s="87">
        <v>17</v>
      </c>
      <c r="CD100" s="87">
        <v>69.66</v>
      </c>
      <c r="CE100" s="87">
        <v>72.13</v>
      </c>
      <c r="CF100" s="85">
        <v>60.05</v>
      </c>
      <c r="CG100" s="86">
        <v>71.09</v>
      </c>
      <c r="CH100" s="86">
        <v>76</v>
      </c>
      <c r="CI100" s="89">
        <v>142.44999999999999</v>
      </c>
      <c r="CJ100" s="85">
        <v>445</v>
      </c>
      <c r="CK100" s="86">
        <v>15</v>
      </c>
      <c r="CL100" s="88">
        <v>5</v>
      </c>
      <c r="CM100" s="89">
        <v>29</v>
      </c>
      <c r="CN100" s="85">
        <v>0.09</v>
      </c>
      <c r="CO100" s="86">
        <v>2084</v>
      </c>
      <c r="CP100" s="88">
        <v>1.63</v>
      </c>
      <c r="CQ100" s="89">
        <v>6</v>
      </c>
      <c r="CR100" s="85">
        <v>12.5</v>
      </c>
      <c r="CS100" s="86">
        <v>0</v>
      </c>
      <c r="CT100" s="88">
        <v>65</v>
      </c>
      <c r="CU100" s="89">
        <v>1040.21</v>
      </c>
      <c r="CV100" s="85">
        <v>2287.66</v>
      </c>
      <c r="CW100" s="86">
        <v>2030</v>
      </c>
      <c r="CX100" s="88">
        <v>2362</v>
      </c>
      <c r="CY100" s="89">
        <v>1959</v>
      </c>
      <c r="CZ100" s="86">
        <v>2207.1999999999998</v>
      </c>
      <c r="DA100" s="86">
        <v>4510</v>
      </c>
      <c r="DB100" s="86">
        <v>2040</v>
      </c>
      <c r="DC100" s="89">
        <v>2072.7060000000001</v>
      </c>
      <c r="DD100" s="86">
        <v>1981</v>
      </c>
      <c r="DE100" s="86">
        <v>2459.1350000000002</v>
      </c>
      <c r="DF100" s="86">
        <v>3282.3380000000002</v>
      </c>
      <c r="DG100" s="89">
        <v>5493.8289999999997</v>
      </c>
      <c r="DH100" s="150"/>
      <c r="DI100" s="150"/>
      <c r="DJ100" s="150"/>
      <c r="DK100" s="150"/>
    </row>
    <row r="101" spans="1:115" s="64" customFormat="1" x14ac:dyDescent="0.3">
      <c r="A101" s="47" t="s">
        <v>16</v>
      </c>
      <c r="B101" s="79" t="s">
        <v>93</v>
      </c>
      <c r="C101" s="79">
        <v>78.239999999999995</v>
      </c>
      <c r="D101" s="80">
        <v>39.9</v>
      </c>
      <c r="E101" s="79">
        <v>292.60000000000002</v>
      </c>
      <c r="F101" s="79">
        <v>110.5</v>
      </c>
      <c r="G101" s="79">
        <v>75.83</v>
      </c>
      <c r="H101" s="80">
        <v>331.3</v>
      </c>
      <c r="I101" s="79">
        <v>159.5</v>
      </c>
      <c r="J101" s="79">
        <v>140.5</v>
      </c>
      <c r="K101" s="79">
        <v>56.18</v>
      </c>
      <c r="L101" s="80">
        <v>32</v>
      </c>
      <c r="M101" s="79">
        <v>1125.0999999999999</v>
      </c>
      <c r="N101" s="79">
        <v>2495.1</v>
      </c>
      <c r="O101" s="79">
        <v>344.11</v>
      </c>
      <c r="P101" s="80">
        <v>38.292739000000012</v>
      </c>
      <c r="Q101" s="79">
        <v>103.23</v>
      </c>
      <c r="R101" s="79">
        <v>39.53</v>
      </c>
      <c r="S101" s="79">
        <v>227.81</v>
      </c>
      <c r="T101" s="80">
        <v>0</v>
      </c>
      <c r="U101" s="79">
        <v>0</v>
      </c>
      <c r="V101" s="79">
        <v>0</v>
      </c>
      <c r="W101" s="79">
        <v>0</v>
      </c>
      <c r="X101" s="80">
        <v>0</v>
      </c>
      <c r="Y101" s="79">
        <v>0</v>
      </c>
      <c r="Z101" s="79">
        <v>0</v>
      </c>
      <c r="AA101" s="79">
        <v>1629.5026800000001</v>
      </c>
      <c r="AB101" s="80">
        <v>0</v>
      </c>
      <c r="AC101" s="79">
        <v>0</v>
      </c>
      <c r="AD101" s="79">
        <v>0</v>
      </c>
      <c r="AE101" s="79">
        <v>0</v>
      </c>
      <c r="AF101" s="80">
        <v>0</v>
      </c>
      <c r="AG101" s="79">
        <v>0</v>
      </c>
      <c r="AH101" s="79">
        <v>0</v>
      </c>
      <c r="AI101" s="79">
        <v>0</v>
      </c>
      <c r="AJ101" s="80">
        <v>0</v>
      </c>
      <c r="AK101" s="79">
        <v>0</v>
      </c>
      <c r="AL101" s="79">
        <v>94.15</v>
      </c>
      <c r="AM101" s="79">
        <v>129.69</v>
      </c>
      <c r="AN101" s="80">
        <v>135.41999999999999</v>
      </c>
      <c r="AO101" s="79">
        <v>162.91999999999999</v>
      </c>
      <c r="AP101" s="79">
        <v>174.38</v>
      </c>
      <c r="AQ101" s="79">
        <v>162.14999999999998</v>
      </c>
      <c r="AR101" s="80">
        <v>135.36000000000001</v>
      </c>
      <c r="AS101" s="81">
        <v>201.6</v>
      </c>
      <c r="AT101" s="79">
        <v>139.32</v>
      </c>
      <c r="AU101" s="79">
        <v>0</v>
      </c>
      <c r="AV101" s="80">
        <v>0</v>
      </c>
      <c r="AW101" s="81">
        <v>0</v>
      </c>
      <c r="AX101" s="79">
        <v>0</v>
      </c>
      <c r="AY101" s="79">
        <v>0</v>
      </c>
      <c r="AZ101" s="82">
        <v>0</v>
      </c>
      <c r="BA101" s="83">
        <v>60.85</v>
      </c>
      <c r="BB101" s="83">
        <v>310.35000000000002</v>
      </c>
      <c r="BC101" s="83">
        <v>127.04</v>
      </c>
      <c r="BD101" s="82">
        <v>120.85000000000001</v>
      </c>
      <c r="BE101" s="83">
        <v>121.21</v>
      </c>
      <c r="BF101" s="83">
        <v>176.38</v>
      </c>
      <c r="BG101" s="83">
        <v>173.88000000000002</v>
      </c>
      <c r="BH101" s="82">
        <v>218.26000000000002</v>
      </c>
      <c r="BI101" s="84">
        <v>173.17000000000002</v>
      </c>
      <c r="BJ101" s="84">
        <v>151.51999999999998</v>
      </c>
      <c r="BK101" s="84">
        <v>151.51999999999998</v>
      </c>
      <c r="BL101" s="85">
        <v>194.82</v>
      </c>
      <c r="BM101" s="86">
        <v>161.01999999999998</v>
      </c>
      <c r="BN101" s="86">
        <v>194.81</v>
      </c>
      <c r="BO101" s="86">
        <v>129.88</v>
      </c>
      <c r="BP101" s="85">
        <v>191.2</v>
      </c>
      <c r="BQ101" s="87">
        <v>201.72000000000003</v>
      </c>
      <c r="BR101" s="87">
        <v>172.59</v>
      </c>
      <c r="BS101" s="87">
        <v>155.39999999999998</v>
      </c>
      <c r="BT101" s="85">
        <v>134.96</v>
      </c>
      <c r="BU101" s="87">
        <v>205.84000000000003</v>
      </c>
      <c r="BV101" s="87">
        <v>151.20000000000002</v>
      </c>
      <c r="BW101" s="87">
        <v>215.52</v>
      </c>
      <c r="BX101" s="85">
        <v>144.32</v>
      </c>
      <c r="BY101" s="87">
        <v>173.54900000000001</v>
      </c>
      <c r="BZ101" s="87">
        <v>140</v>
      </c>
      <c r="CA101" s="87">
        <v>180</v>
      </c>
      <c r="CB101" s="85">
        <v>148.70999999999998</v>
      </c>
      <c r="CC101" s="87">
        <v>180</v>
      </c>
      <c r="CD101" s="87">
        <v>160</v>
      </c>
      <c r="CE101" s="87">
        <v>180</v>
      </c>
      <c r="CF101" s="85">
        <v>100</v>
      </c>
      <c r="CG101" s="86">
        <v>80</v>
      </c>
      <c r="CH101" s="88">
        <v>180</v>
      </c>
      <c r="CI101" s="89">
        <v>180</v>
      </c>
      <c r="CJ101" s="85">
        <v>140</v>
      </c>
      <c r="CK101" s="86">
        <v>101</v>
      </c>
      <c r="CL101" s="88">
        <v>100</v>
      </c>
      <c r="CM101" s="89">
        <v>43.39</v>
      </c>
      <c r="CN101" s="85">
        <v>0</v>
      </c>
      <c r="CO101" s="86">
        <v>0</v>
      </c>
      <c r="CP101" s="88">
        <v>0</v>
      </c>
      <c r="CQ101" s="89">
        <v>0</v>
      </c>
      <c r="CR101" s="85">
        <v>0</v>
      </c>
      <c r="CS101" s="86">
        <v>0</v>
      </c>
      <c r="CT101" s="88">
        <v>0</v>
      </c>
      <c r="CU101" s="89">
        <v>0</v>
      </c>
      <c r="CV101" s="85">
        <v>0</v>
      </c>
      <c r="CW101" s="86">
        <v>0</v>
      </c>
      <c r="CX101" s="88">
        <v>0</v>
      </c>
      <c r="CY101" s="89">
        <v>0</v>
      </c>
      <c r="CZ101" s="86">
        <v>0</v>
      </c>
      <c r="DA101" s="86">
        <v>0</v>
      </c>
      <c r="DB101" s="86">
        <v>0</v>
      </c>
      <c r="DC101" s="89">
        <v>0</v>
      </c>
      <c r="DD101" s="86">
        <v>0</v>
      </c>
      <c r="DE101" s="86">
        <v>0</v>
      </c>
      <c r="DF101" s="86">
        <v>0</v>
      </c>
      <c r="DG101" s="89">
        <v>0</v>
      </c>
      <c r="DH101" s="150"/>
      <c r="DI101" s="150"/>
      <c r="DJ101" s="150"/>
      <c r="DK101" s="150"/>
    </row>
    <row r="102" spans="1:115" s="64" customFormat="1" x14ac:dyDescent="0.3">
      <c r="A102" s="33" t="s">
        <v>102</v>
      </c>
      <c r="B102" s="79" t="s">
        <v>93</v>
      </c>
      <c r="C102" s="79" t="s">
        <v>93</v>
      </c>
      <c r="D102" s="80" t="s">
        <v>93</v>
      </c>
      <c r="E102" s="79" t="s">
        <v>93</v>
      </c>
      <c r="F102" s="79" t="s">
        <v>93</v>
      </c>
      <c r="G102" s="79" t="s">
        <v>93</v>
      </c>
      <c r="H102" s="80" t="s">
        <v>93</v>
      </c>
      <c r="I102" s="79" t="s">
        <v>93</v>
      </c>
      <c r="J102" s="79" t="s">
        <v>93</v>
      </c>
      <c r="K102" s="79" t="s">
        <v>93</v>
      </c>
      <c r="L102" s="80" t="s">
        <v>93</v>
      </c>
      <c r="M102" s="79" t="s">
        <v>93</v>
      </c>
      <c r="N102" s="79" t="s">
        <v>93</v>
      </c>
      <c r="O102" s="79" t="s">
        <v>93</v>
      </c>
      <c r="P102" s="80" t="s">
        <v>93</v>
      </c>
      <c r="Q102" s="79" t="s">
        <v>93</v>
      </c>
      <c r="R102" s="79" t="s">
        <v>93</v>
      </c>
      <c r="S102" s="79" t="s">
        <v>93</v>
      </c>
      <c r="T102" s="80" t="s">
        <v>93</v>
      </c>
      <c r="U102" s="79" t="s">
        <v>93</v>
      </c>
      <c r="V102" s="79" t="s">
        <v>93</v>
      </c>
      <c r="W102" s="79" t="s">
        <v>93</v>
      </c>
      <c r="X102" s="80" t="s">
        <v>93</v>
      </c>
      <c r="Y102" s="79" t="s">
        <v>93</v>
      </c>
      <c r="Z102" s="79" t="s">
        <v>93</v>
      </c>
      <c r="AA102" s="79" t="s">
        <v>93</v>
      </c>
      <c r="AB102" s="80" t="s">
        <v>93</v>
      </c>
      <c r="AC102" s="79" t="s">
        <v>93</v>
      </c>
      <c r="AD102" s="79" t="s">
        <v>93</v>
      </c>
      <c r="AE102" s="79" t="s">
        <v>93</v>
      </c>
      <c r="AF102" s="80" t="s">
        <v>93</v>
      </c>
      <c r="AG102" s="79" t="s">
        <v>93</v>
      </c>
      <c r="AH102" s="79" t="s">
        <v>93</v>
      </c>
      <c r="AI102" s="79" t="s">
        <v>93</v>
      </c>
      <c r="AJ102" s="80" t="s">
        <v>93</v>
      </c>
      <c r="AK102" s="79" t="s">
        <v>93</v>
      </c>
      <c r="AL102" s="79" t="s">
        <v>93</v>
      </c>
      <c r="AM102" s="79" t="s">
        <v>93</v>
      </c>
      <c r="AN102" s="80" t="s">
        <v>93</v>
      </c>
      <c r="AO102" s="79" t="s">
        <v>93</v>
      </c>
      <c r="AP102" s="79" t="s">
        <v>93</v>
      </c>
      <c r="AQ102" s="79" t="s">
        <v>93</v>
      </c>
      <c r="AR102" s="80" t="s">
        <v>93</v>
      </c>
      <c r="AS102" s="81" t="s">
        <v>93</v>
      </c>
      <c r="AT102" s="79" t="s">
        <v>93</v>
      </c>
      <c r="AU102" s="79" t="s">
        <v>93</v>
      </c>
      <c r="AV102" s="80" t="s">
        <v>93</v>
      </c>
      <c r="AW102" s="81" t="s">
        <v>93</v>
      </c>
      <c r="AX102" s="79" t="s">
        <v>93</v>
      </c>
      <c r="AY102" s="79" t="s">
        <v>93</v>
      </c>
      <c r="AZ102" s="82" t="s">
        <v>93</v>
      </c>
      <c r="BA102" s="83" t="s">
        <v>93</v>
      </c>
      <c r="BB102" s="83" t="s">
        <v>93</v>
      </c>
      <c r="BC102" s="83" t="s">
        <v>93</v>
      </c>
      <c r="BD102" s="82" t="s">
        <v>93</v>
      </c>
      <c r="BE102" s="83" t="s">
        <v>93</v>
      </c>
      <c r="BF102" s="83" t="s">
        <v>93</v>
      </c>
      <c r="BG102" s="83" t="s">
        <v>93</v>
      </c>
      <c r="BH102" s="82" t="s">
        <v>93</v>
      </c>
      <c r="BI102" s="84" t="s">
        <v>93</v>
      </c>
      <c r="BJ102" s="84" t="s">
        <v>93</v>
      </c>
      <c r="BK102" s="84" t="s">
        <v>93</v>
      </c>
      <c r="BL102" s="85" t="s">
        <v>93</v>
      </c>
      <c r="BM102" s="86" t="s">
        <v>93</v>
      </c>
      <c r="BN102" s="86" t="s">
        <v>93</v>
      </c>
      <c r="BO102" s="86" t="s">
        <v>93</v>
      </c>
      <c r="BP102" s="85" t="s">
        <v>93</v>
      </c>
      <c r="BQ102" s="87" t="s">
        <v>93</v>
      </c>
      <c r="BR102" s="87" t="s">
        <v>93</v>
      </c>
      <c r="BS102" s="87" t="s">
        <v>93</v>
      </c>
      <c r="BT102" s="85" t="s">
        <v>93</v>
      </c>
      <c r="BU102" s="87" t="s">
        <v>93</v>
      </c>
      <c r="BV102" s="87" t="s">
        <v>93</v>
      </c>
      <c r="BW102" s="87" t="s">
        <v>93</v>
      </c>
      <c r="BX102" s="85" t="s">
        <v>93</v>
      </c>
      <c r="BY102" s="87" t="s">
        <v>93</v>
      </c>
      <c r="BZ102" s="87" t="s">
        <v>93</v>
      </c>
      <c r="CA102" s="87" t="s">
        <v>93</v>
      </c>
      <c r="CB102" s="85">
        <v>2728.72</v>
      </c>
      <c r="CC102" s="87" t="s">
        <v>93</v>
      </c>
      <c r="CD102" s="87">
        <v>0</v>
      </c>
      <c r="CE102" s="87">
        <v>221.27</v>
      </c>
      <c r="CF102" s="85">
        <v>6870.2070000000003</v>
      </c>
      <c r="CG102" s="86">
        <v>2719.27</v>
      </c>
      <c r="CH102" s="88">
        <v>5403.3099999999995</v>
      </c>
      <c r="CI102" s="89">
        <v>4016.4493400000001</v>
      </c>
      <c r="CJ102" s="85">
        <v>2448.17</v>
      </c>
      <c r="CK102" s="86">
        <v>3820.11</v>
      </c>
      <c r="CL102" s="88">
        <v>7611.98</v>
      </c>
      <c r="CM102" s="89">
        <v>9152.7899999999991</v>
      </c>
      <c r="CN102" s="85">
        <v>12110.861000000001</v>
      </c>
      <c r="CO102" s="86">
        <v>4174.2</v>
      </c>
      <c r="CP102" s="88">
        <v>1655.1450000000002</v>
      </c>
      <c r="CQ102" s="89">
        <v>1132.6130000000001</v>
      </c>
      <c r="CR102" s="85">
        <v>886.87860000000001</v>
      </c>
      <c r="CS102" s="86">
        <v>8102.9589999999989</v>
      </c>
      <c r="CT102" s="88">
        <v>8632.5409999999993</v>
      </c>
      <c r="CU102" s="89">
        <v>8790.869999999999</v>
      </c>
      <c r="CV102" s="85">
        <v>6658.9920000000002</v>
      </c>
      <c r="CW102" s="86">
        <v>2504.4849999999997</v>
      </c>
      <c r="CX102" s="88">
        <v>4393.2129999999997</v>
      </c>
      <c r="CY102" s="89">
        <v>4666.085</v>
      </c>
      <c r="CZ102" s="86">
        <v>5111.0250000000005</v>
      </c>
      <c r="DA102" s="86">
        <v>5275.9210000000003</v>
      </c>
      <c r="DB102" s="86">
        <v>4692.9969999999994</v>
      </c>
      <c r="DC102" s="89">
        <v>3663.4359999999997</v>
      </c>
      <c r="DD102" s="86">
        <v>4100.348</v>
      </c>
      <c r="DE102" s="86">
        <v>3471.643</v>
      </c>
      <c r="DF102" s="86">
        <v>3659.7750000000001</v>
      </c>
      <c r="DG102" s="89">
        <v>3595.3590000000004</v>
      </c>
      <c r="DH102" s="150"/>
      <c r="DI102" s="150"/>
      <c r="DJ102" s="150"/>
      <c r="DK102" s="150"/>
    </row>
    <row r="103" spans="1:115" s="64" customFormat="1" x14ac:dyDescent="0.3">
      <c r="A103" s="33" t="s">
        <v>35</v>
      </c>
      <c r="B103" s="79" t="s">
        <v>93</v>
      </c>
      <c r="C103" s="79" t="s">
        <v>93</v>
      </c>
      <c r="D103" s="80" t="s">
        <v>93</v>
      </c>
      <c r="E103" s="79" t="s">
        <v>93</v>
      </c>
      <c r="F103" s="79" t="s">
        <v>93</v>
      </c>
      <c r="G103" s="79" t="s">
        <v>93</v>
      </c>
      <c r="H103" s="80" t="s">
        <v>93</v>
      </c>
      <c r="I103" s="79" t="s">
        <v>93</v>
      </c>
      <c r="J103" s="79" t="s">
        <v>93</v>
      </c>
      <c r="K103" s="79" t="s">
        <v>93</v>
      </c>
      <c r="L103" s="80">
        <v>319.60000000000002</v>
      </c>
      <c r="M103" s="79">
        <v>632.24</v>
      </c>
      <c r="N103" s="79">
        <v>748.24</v>
      </c>
      <c r="O103" s="79">
        <v>665.7</v>
      </c>
      <c r="P103" s="80">
        <v>40228.25</v>
      </c>
      <c r="Q103" s="79">
        <v>31776.06</v>
      </c>
      <c r="R103" s="79">
        <v>61150</v>
      </c>
      <c r="S103" s="79">
        <v>37450</v>
      </c>
      <c r="T103" s="80">
        <v>487914</v>
      </c>
      <c r="U103" s="79">
        <v>741580</v>
      </c>
      <c r="V103" s="79">
        <v>821.98</v>
      </c>
      <c r="W103" s="79">
        <v>143.01</v>
      </c>
      <c r="X103" s="80">
        <v>0</v>
      </c>
      <c r="Y103" s="79">
        <v>0</v>
      </c>
      <c r="Z103" s="79">
        <v>0</v>
      </c>
      <c r="AA103" s="79">
        <v>574.57399999999996</v>
      </c>
      <c r="AB103" s="80">
        <v>0</v>
      </c>
      <c r="AC103" s="79">
        <v>0</v>
      </c>
      <c r="AD103" s="79">
        <v>0</v>
      </c>
      <c r="AE103" s="79">
        <v>0</v>
      </c>
      <c r="AF103" s="80">
        <v>0</v>
      </c>
      <c r="AG103" s="79">
        <v>0</v>
      </c>
      <c r="AH103" s="79">
        <v>0</v>
      </c>
      <c r="AI103" s="79">
        <v>0</v>
      </c>
      <c r="AJ103" s="80">
        <v>0</v>
      </c>
      <c r="AK103" s="79">
        <v>0</v>
      </c>
      <c r="AL103" s="79">
        <v>971.60399999999993</v>
      </c>
      <c r="AM103" s="79">
        <v>0</v>
      </c>
      <c r="AN103" s="80">
        <v>0</v>
      </c>
      <c r="AO103" s="79">
        <v>0</v>
      </c>
      <c r="AP103" s="79">
        <v>0</v>
      </c>
      <c r="AQ103" s="79">
        <v>0</v>
      </c>
      <c r="AR103" s="80">
        <v>790.25</v>
      </c>
      <c r="AS103" s="81">
        <v>0</v>
      </c>
      <c r="AT103" s="79">
        <v>0</v>
      </c>
      <c r="AU103" s="79">
        <v>0</v>
      </c>
      <c r="AV103" s="80">
        <v>0</v>
      </c>
      <c r="AW103" s="81">
        <v>0</v>
      </c>
      <c r="AX103" s="79">
        <v>0</v>
      </c>
      <c r="AY103" s="79">
        <v>0</v>
      </c>
      <c r="AZ103" s="82">
        <v>0</v>
      </c>
      <c r="BA103" s="83">
        <v>0</v>
      </c>
      <c r="BB103" s="83">
        <v>0</v>
      </c>
      <c r="BC103" s="83">
        <v>0</v>
      </c>
      <c r="BD103" s="82">
        <v>0</v>
      </c>
      <c r="BE103" s="83">
        <v>0</v>
      </c>
      <c r="BF103" s="83">
        <v>0</v>
      </c>
      <c r="BG103" s="83">
        <v>0</v>
      </c>
      <c r="BH103" s="82">
        <v>0</v>
      </c>
      <c r="BI103" s="84">
        <v>0</v>
      </c>
      <c r="BJ103" s="84">
        <v>0</v>
      </c>
      <c r="BK103" s="84">
        <v>0</v>
      </c>
      <c r="BL103" s="85">
        <v>0</v>
      </c>
      <c r="BM103" s="86">
        <v>2248.38</v>
      </c>
      <c r="BN103" s="86">
        <v>0</v>
      </c>
      <c r="BO103" s="86">
        <v>0</v>
      </c>
      <c r="BP103" s="85">
        <v>4663.68</v>
      </c>
      <c r="BQ103" s="87">
        <v>0</v>
      </c>
      <c r="BR103" s="87">
        <v>1972.08</v>
      </c>
      <c r="BS103" s="87">
        <v>0</v>
      </c>
      <c r="BT103" s="85" t="s">
        <v>93</v>
      </c>
      <c r="BU103" s="87" t="s">
        <v>93</v>
      </c>
      <c r="BV103" s="87" t="s">
        <v>93</v>
      </c>
      <c r="BW103" s="87" t="s">
        <v>93</v>
      </c>
      <c r="BX103" s="85" t="s">
        <v>93</v>
      </c>
      <c r="BY103" s="87" t="s">
        <v>93</v>
      </c>
      <c r="BZ103" s="87" t="s">
        <v>93</v>
      </c>
      <c r="CA103" s="87" t="s">
        <v>93</v>
      </c>
      <c r="CB103" s="85">
        <v>0</v>
      </c>
      <c r="CC103" s="87">
        <v>0</v>
      </c>
      <c r="CD103" s="87">
        <v>0</v>
      </c>
      <c r="CE103" s="87">
        <v>0</v>
      </c>
      <c r="CF103" s="85">
        <v>10657.651</v>
      </c>
      <c r="CG103" s="86">
        <v>6744.9719999999998</v>
      </c>
      <c r="CH103" s="86" t="s">
        <v>93</v>
      </c>
      <c r="CI103" s="89">
        <v>6359.1337699999995</v>
      </c>
      <c r="CJ103" s="85">
        <v>7348.18</v>
      </c>
      <c r="CK103" s="86">
        <v>9671.57</v>
      </c>
      <c r="CL103" s="88">
        <v>10918.85</v>
      </c>
      <c r="CM103" s="89">
        <v>9787.32</v>
      </c>
      <c r="CN103" s="85">
        <v>14122.349999999999</v>
      </c>
      <c r="CO103" s="86">
        <v>5153.8999999999996</v>
      </c>
      <c r="CP103" s="88">
        <v>6025.1360000000004</v>
      </c>
      <c r="CQ103" s="89">
        <v>5460.4650000000001</v>
      </c>
      <c r="CR103" s="85">
        <v>6145.1594999999998</v>
      </c>
      <c r="CS103" s="86">
        <v>12739.477000000001</v>
      </c>
      <c r="CT103" s="88">
        <v>9308.8809999999994</v>
      </c>
      <c r="CU103" s="89">
        <v>7565.74</v>
      </c>
      <c r="CV103" s="85">
        <v>9336.976999999999</v>
      </c>
      <c r="CW103" s="86">
        <v>13255.380999999999</v>
      </c>
      <c r="CX103" s="88">
        <v>9752.5579999999991</v>
      </c>
      <c r="CY103" s="89">
        <v>9997.726999999999</v>
      </c>
      <c r="CZ103" s="86">
        <v>10608.058000000001</v>
      </c>
      <c r="DA103" s="86">
        <v>9663.8019999999997</v>
      </c>
      <c r="DB103" s="86">
        <v>10233.047</v>
      </c>
      <c r="DC103" s="89">
        <v>10697.725</v>
      </c>
      <c r="DD103" s="86">
        <v>11286.151</v>
      </c>
      <c r="DE103" s="86">
        <v>12232.091</v>
      </c>
      <c r="DF103" s="86">
        <v>10123.82663</v>
      </c>
      <c r="DG103" s="89">
        <v>12017.707270000001</v>
      </c>
      <c r="DH103" s="150"/>
      <c r="DI103" s="150"/>
      <c r="DJ103" s="150"/>
      <c r="DK103" s="150"/>
    </row>
    <row r="104" spans="1:115" s="64" customFormat="1" x14ac:dyDescent="0.3">
      <c r="A104" s="33" t="s">
        <v>33</v>
      </c>
      <c r="B104" s="79" t="s">
        <v>93</v>
      </c>
      <c r="C104" s="79" t="s">
        <v>93</v>
      </c>
      <c r="D104" s="80" t="s">
        <v>93</v>
      </c>
      <c r="E104" s="79" t="s">
        <v>93</v>
      </c>
      <c r="F104" s="79" t="s">
        <v>93</v>
      </c>
      <c r="G104" s="79" t="s">
        <v>93</v>
      </c>
      <c r="H104" s="80" t="s">
        <v>93</v>
      </c>
      <c r="I104" s="79" t="s">
        <v>93</v>
      </c>
      <c r="J104" s="79" t="s">
        <v>93</v>
      </c>
      <c r="K104" s="79" t="s">
        <v>93</v>
      </c>
      <c r="L104" s="80" t="s">
        <v>93</v>
      </c>
      <c r="M104" s="79">
        <v>0</v>
      </c>
      <c r="N104" s="79">
        <v>0</v>
      </c>
      <c r="O104" s="79">
        <v>0</v>
      </c>
      <c r="P104" s="80">
        <v>25292.53</v>
      </c>
      <c r="Q104" s="79">
        <v>104200</v>
      </c>
      <c r="R104" s="79">
        <v>43810</v>
      </c>
      <c r="S104" s="79">
        <v>58807</v>
      </c>
      <c r="T104" s="80">
        <v>26803</v>
      </c>
      <c r="U104" s="79">
        <v>0</v>
      </c>
      <c r="V104" s="79">
        <v>87.41</v>
      </c>
      <c r="W104" s="79">
        <v>197.58</v>
      </c>
      <c r="X104" s="80">
        <v>178.42</v>
      </c>
      <c r="Y104" s="79">
        <v>0</v>
      </c>
      <c r="Z104" s="79">
        <v>0</v>
      </c>
      <c r="AA104" s="79">
        <v>0</v>
      </c>
      <c r="AB104" s="80">
        <v>0</v>
      </c>
      <c r="AC104" s="79">
        <v>0</v>
      </c>
      <c r="AD104" s="79">
        <v>0</v>
      </c>
      <c r="AE104" s="79">
        <v>0</v>
      </c>
      <c r="AF104" s="80">
        <v>0</v>
      </c>
      <c r="AG104" s="79">
        <v>0</v>
      </c>
      <c r="AH104" s="79">
        <v>0</v>
      </c>
      <c r="AI104" s="79">
        <v>52.46</v>
      </c>
      <c r="AJ104" s="80">
        <v>0</v>
      </c>
      <c r="AK104" s="79">
        <v>0</v>
      </c>
      <c r="AL104" s="79">
        <v>140.78300000000002</v>
      </c>
      <c r="AM104" s="79">
        <v>0</v>
      </c>
      <c r="AN104" s="80">
        <v>0</v>
      </c>
      <c r="AO104" s="79">
        <v>0</v>
      </c>
      <c r="AP104" s="79">
        <v>0</v>
      </c>
      <c r="AQ104" s="79">
        <v>0.03</v>
      </c>
      <c r="AR104" s="80">
        <v>149.46</v>
      </c>
      <c r="AS104" s="81">
        <v>158.63999999999999</v>
      </c>
      <c r="AT104" s="79">
        <v>0</v>
      </c>
      <c r="AU104" s="79">
        <v>0</v>
      </c>
      <c r="AV104" s="80">
        <v>0</v>
      </c>
      <c r="AW104" s="81">
        <v>0</v>
      </c>
      <c r="AX104" s="79">
        <v>0</v>
      </c>
      <c r="AY104" s="79">
        <v>0</v>
      </c>
      <c r="AZ104" s="82">
        <v>0</v>
      </c>
      <c r="BA104" s="83">
        <v>0</v>
      </c>
      <c r="BB104" s="83">
        <v>0</v>
      </c>
      <c r="BC104" s="83">
        <v>0</v>
      </c>
      <c r="BD104" s="82">
        <v>0</v>
      </c>
      <c r="BE104" s="83">
        <v>0</v>
      </c>
      <c r="BF104" s="83">
        <v>0</v>
      </c>
      <c r="BG104" s="83">
        <v>0</v>
      </c>
      <c r="BH104" s="82">
        <v>0</v>
      </c>
      <c r="BI104" s="84">
        <v>0</v>
      </c>
      <c r="BJ104" s="84">
        <v>0</v>
      </c>
      <c r="BK104" s="84">
        <v>5419.56</v>
      </c>
      <c r="BL104" s="85">
        <v>645.66</v>
      </c>
      <c r="BM104" s="86">
        <v>0</v>
      </c>
      <c r="BN104" s="86">
        <v>0</v>
      </c>
      <c r="BO104" s="86">
        <v>0</v>
      </c>
      <c r="BP104" s="85" t="s">
        <v>93</v>
      </c>
      <c r="BQ104" s="87" t="s">
        <v>93</v>
      </c>
      <c r="BR104" s="87" t="s">
        <v>93</v>
      </c>
      <c r="BS104" s="87" t="s">
        <v>93</v>
      </c>
      <c r="BT104" s="85" t="s">
        <v>93</v>
      </c>
      <c r="BU104" s="87" t="s">
        <v>93</v>
      </c>
      <c r="BV104" s="87" t="s">
        <v>93</v>
      </c>
      <c r="BW104" s="87" t="s">
        <v>93</v>
      </c>
      <c r="BX104" s="85" t="s">
        <v>93</v>
      </c>
      <c r="BY104" s="87" t="s">
        <v>93</v>
      </c>
      <c r="BZ104" s="87" t="s">
        <v>93</v>
      </c>
      <c r="CA104" s="87" t="s">
        <v>93</v>
      </c>
      <c r="CB104" s="85">
        <v>0</v>
      </c>
      <c r="CC104" s="87">
        <v>0</v>
      </c>
      <c r="CD104" s="87">
        <v>0</v>
      </c>
      <c r="CE104" s="87">
        <v>0</v>
      </c>
      <c r="CF104" s="85">
        <v>3312.768</v>
      </c>
      <c r="CG104" s="86">
        <v>2554.1400000000003</v>
      </c>
      <c r="CH104" s="88">
        <v>2606.6800000000003</v>
      </c>
      <c r="CI104" s="89">
        <v>3877.5474199999999</v>
      </c>
      <c r="CJ104" s="85">
        <v>2821.3500000000004</v>
      </c>
      <c r="CK104" s="86">
        <v>4203.92</v>
      </c>
      <c r="CL104" s="88">
        <v>4638.2700000000004</v>
      </c>
      <c r="CM104" s="89">
        <v>4168.79</v>
      </c>
      <c r="CN104" s="85">
        <v>5647.18</v>
      </c>
      <c r="CO104" s="86">
        <v>5088.34</v>
      </c>
      <c r="CP104" s="88">
        <v>3828.4829999999997</v>
      </c>
      <c r="CQ104" s="89">
        <v>7270.7520000000004</v>
      </c>
      <c r="CR104" s="85">
        <v>7083.8508000000002</v>
      </c>
      <c r="CS104" s="86">
        <v>5145.9809999999998</v>
      </c>
      <c r="CT104" s="88">
        <v>7789.6909999999998</v>
      </c>
      <c r="CU104" s="89">
        <v>4898.8900000000003</v>
      </c>
      <c r="CV104" s="85">
        <v>4710.0839999999998</v>
      </c>
      <c r="CW104" s="86">
        <v>4132.7689999999993</v>
      </c>
      <c r="CX104" s="88">
        <v>4195.3440000000001</v>
      </c>
      <c r="CY104" s="89">
        <v>5057.7160000000003</v>
      </c>
      <c r="CZ104" s="86">
        <v>5434.7919999999995</v>
      </c>
      <c r="DA104" s="86">
        <v>8460.3420000000006</v>
      </c>
      <c r="DB104" s="86">
        <v>5287.5591000000004</v>
      </c>
      <c r="DC104" s="89">
        <v>3692.4921999999997</v>
      </c>
      <c r="DD104" s="86">
        <v>4935.8240000000005</v>
      </c>
      <c r="DE104" s="86">
        <v>5347.10563</v>
      </c>
      <c r="DF104" s="86">
        <v>5819.2493100000002</v>
      </c>
      <c r="DG104" s="89">
        <v>5220.3733499999998</v>
      </c>
      <c r="DH104" s="150"/>
      <c r="DI104" s="150"/>
      <c r="DJ104" s="150"/>
      <c r="DK104" s="150"/>
    </row>
    <row r="105" spans="1:115" s="64" customFormat="1" x14ac:dyDescent="0.3">
      <c r="A105" s="33" t="s">
        <v>162</v>
      </c>
      <c r="B105" s="79" t="s">
        <v>93</v>
      </c>
      <c r="C105" s="79" t="s">
        <v>93</v>
      </c>
      <c r="D105" s="80" t="s">
        <v>93</v>
      </c>
      <c r="E105" s="79" t="s">
        <v>93</v>
      </c>
      <c r="F105" s="79" t="s">
        <v>93</v>
      </c>
      <c r="G105" s="79" t="s">
        <v>93</v>
      </c>
      <c r="H105" s="80" t="s">
        <v>93</v>
      </c>
      <c r="I105" s="79" t="s">
        <v>93</v>
      </c>
      <c r="J105" s="79" t="s">
        <v>93</v>
      </c>
      <c r="K105" s="79" t="s">
        <v>93</v>
      </c>
      <c r="L105" s="80" t="s">
        <v>93</v>
      </c>
      <c r="M105" s="79">
        <v>0</v>
      </c>
      <c r="N105" s="79">
        <v>0</v>
      </c>
      <c r="O105" s="79">
        <v>900.18600000000004</v>
      </c>
      <c r="P105" s="80">
        <v>649.65</v>
      </c>
      <c r="Q105" s="79">
        <v>6568.6</v>
      </c>
      <c r="R105" s="79">
        <v>0</v>
      </c>
      <c r="S105" s="79">
        <v>0</v>
      </c>
      <c r="T105" s="80">
        <v>0</v>
      </c>
      <c r="U105" s="79">
        <v>0</v>
      </c>
      <c r="V105" s="79">
        <v>0</v>
      </c>
      <c r="W105" s="79">
        <v>9740.4959999999992</v>
      </c>
      <c r="X105" s="80">
        <v>1888.259</v>
      </c>
      <c r="Y105" s="79">
        <v>13951.155000000001</v>
      </c>
      <c r="Z105" s="79">
        <v>7226.1020000000008</v>
      </c>
      <c r="AA105" s="79">
        <v>7184.7880000000005</v>
      </c>
      <c r="AB105" s="80">
        <v>10693.083000000001</v>
      </c>
      <c r="AC105" s="79">
        <v>8793.405999999999</v>
      </c>
      <c r="AD105" s="79">
        <v>0</v>
      </c>
      <c r="AE105" s="79">
        <v>31992.880000000001</v>
      </c>
      <c r="AF105" s="80">
        <v>0</v>
      </c>
      <c r="AG105" s="79">
        <v>0</v>
      </c>
      <c r="AH105" s="79">
        <v>0</v>
      </c>
      <c r="AI105" s="79">
        <v>0</v>
      </c>
      <c r="AJ105" s="80">
        <v>0</v>
      </c>
      <c r="AK105" s="79">
        <v>0</v>
      </c>
      <c r="AL105" s="79">
        <v>389.82000000000005</v>
      </c>
      <c r="AM105" s="79">
        <v>6719.33</v>
      </c>
      <c r="AN105" s="80">
        <v>7459.26</v>
      </c>
      <c r="AO105" s="79">
        <v>7844.09</v>
      </c>
      <c r="AP105" s="79">
        <v>6736.43</v>
      </c>
      <c r="AQ105" s="79">
        <v>0</v>
      </c>
      <c r="AR105" s="80">
        <v>3780.5</v>
      </c>
      <c r="AS105" s="81">
        <v>5370.4760000000006</v>
      </c>
      <c r="AT105" s="79">
        <v>3787.6</v>
      </c>
      <c r="AU105" s="79">
        <v>5126.6499999999996</v>
      </c>
      <c r="AV105" s="80">
        <v>5333.01</v>
      </c>
      <c r="AW105" s="81">
        <v>13628.45</v>
      </c>
      <c r="AX105" s="79">
        <v>25946.71</v>
      </c>
      <c r="AY105" s="79">
        <v>15575.59</v>
      </c>
      <c r="AZ105" s="82">
        <v>13078</v>
      </c>
      <c r="BA105" s="83">
        <v>16339.599999999999</v>
      </c>
      <c r="BB105" s="83">
        <v>16880.93</v>
      </c>
      <c r="BC105" s="83">
        <v>18883.27</v>
      </c>
      <c r="BD105" s="82">
        <v>25734.98</v>
      </c>
      <c r="BE105" s="83">
        <v>17289.71</v>
      </c>
      <c r="BF105" s="83">
        <v>15177.11</v>
      </c>
      <c r="BG105" s="83">
        <v>16373.09</v>
      </c>
      <c r="BH105" s="82">
        <v>17155.46</v>
      </c>
      <c r="BI105" s="84">
        <v>17304.7</v>
      </c>
      <c r="BJ105" s="84">
        <v>19259.989999999998</v>
      </c>
      <c r="BK105" s="84">
        <v>24681.48</v>
      </c>
      <c r="BL105" s="85">
        <v>23343.360000000001</v>
      </c>
      <c r="BM105" s="86">
        <v>21487.77</v>
      </c>
      <c r="BN105" s="86">
        <v>19300.73</v>
      </c>
      <c r="BO105" s="86">
        <v>14771.76</v>
      </c>
      <c r="BP105" s="85">
        <v>11988.91</v>
      </c>
      <c r="BQ105" s="87">
        <v>0</v>
      </c>
      <c r="BR105" s="87">
        <v>0</v>
      </c>
      <c r="BS105" s="87">
        <v>0</v>
      </c>
      <c r="BT105" s="85">
        <v>0</v>
      </c>
      <c r="BU105" s="87">
        <v>0</v>
      </c>
      <c r="BV105" s="87">
        <v>549.49</v>
      </c>
      <c r="BW105" s="87">
        <v>8269.08</v>
      </c>
      <c r="BX105" s="85" t="s">
        <v>93</v>
      </c>
      <c r="BY105" s="87" t="s">
        <v>93</v>
      </c>
      <c r="BZ105" s="87" t="s">
        <v>93</v>
      </c>
      <c r="CA105" s="87" t="s">
        <v>93</v>
      </c>
      <c r="CB105" s="85" t="s">
        <v>93</v>
      </c>
      <c r="CC105" s="87" t="s">
        <v>93</v>
      </c>
      <c r="CD105" s="87" t="s">
        <v>93</v>
      </c>
      <c r="CE105" s="87" t="s">
        <v>93</v>
      </c>
      <c r="CF105" s="85" t="s">
        <v>93</v>
      </c>
      <c r="CG105" s="86">
        <v>8912.64</v>
      </c>
      <c r="CH105" s="86" t="s">
        <v>93</v>
      </c>
      <c r="CI105" s="132" t="s">
        <v>93</v>
      </c>
      <c r="CJ105" s="85" t="s">
        <v>93</v>
      </c>
      <c r="CK105" s="86">
        <v>21139.7778</v>
      </c>
      <c r="CL105" s="88">
        <v>31318.54667</v>
      </c>
      <c r="CM105" s="132">
        <v>34572.767879999999</v>
      </c>
      <c r="CN105" s="85">
        <v>10390.938</v>
      </c>
      <c r="CO105" s="86">
        <v>32282.173000000003</v>
      </c>
      <c r="CP105" s="88">
        <v>36538.994449999998</v>
      </c>
      <c r="CQ105" s="132">
        <v>36384.539550000001</v>
      </c>
      <c r="CR105" s="85">
        <v>30907.684999999998</v>
      </c>
      <c r="CS105" s="86">
        <v>30409.406700000003</v>
      </c>
      <c r="CT105" s="88">
        <v>31751.704949999999</v>
      </c>
      <c r="CU105" s="132">
        <v>29126.763850000003</v>
      </c>
      <c r="CV105" s="85">
        <v>28126.093900000003</v>
      </c>
      <c r="CW105" s="86">
        <v>25076.985599999996</v>
      </c>
      <c r="CX105" s="88">
        <v>28905.1037</v>
      </c>
      <c r="CY105" s="132">
        <v>28711.657449999999</v>
      </c>
      <c r="CZ105" s="86">
        <v>27230.843800000002</v>
      </c>
      <c r="DA105" s="86">
        <v>29399.6587</v>
      </c>
      <c r="DB105" s="86">
        <v>30175.919000000002</v>
      </c>
      <c r="DC105" s="89">
        <v>31959.173999999999</v>
      </c>
      <c r="DD105" s="86">
        <v>28640.957999999999</v>
      </c>
      <c r="DE105" s="86">
        <v>28147.104999999996</v>
      </c>
      <c r="DF105" s="86">
        <v>31127.250999999997</v>
      </c>
      <c r="DG105" s="132">
        <v>31311.332999999999</v>
      </c>
      <c r="DH105" s="150"/>
      <c r="DI105" s="150"/>
      <c r="DJ105" s="150"/>
      <c r="DK105" s="150"/>
    </row>
    <row r="106" spans="1:115" s="64" customFormat="1" x14ac:dyDescent="0.3">
      <c r="A106" s="33" t="s">
        <v>163</v>
      </c>
      <c r="B106" s="79" t="s">
        <v>93</v>
      </c>
      <c r="C106" s="79" t="s">
        <v>93</v>
      </c>
      <c r="D106" s="80" t="s">
        <v>93</v>
      </c>
      <c r="E106" s="79" t="s">
        <v>93</v>
      </c>
      <c r="F106" s="79">
        <v>68.2</v>
      </c>
      <c r="G106" s="79">
        <v>80.199999999999989</v>
      </c>
      <c r="H106" s="80">
        <v>65.8</v>
      </c>
      <c r="I106" s="79">
        <v>60.7</v>
      </c>
      <c r="J106" s="79">
        <v>62.7</v>
      </c>
      <c r="K106" s="79">
        <v>0</v>
      </c>
      <c r="L106" s="80" t="s">
        <v>93</v>
      </c>
      <c r="M106" s="79">
        <v>1.1599999999999999</v>
      </c>
      <c r="N106" s="79">
        <v>27.207800000000002</v>
      </c>
      <c r="O106" s="79">
        <v>52.544939999999997</v>
      </c>
      <c r="P106" s="80">
        <v>46.9375</v>
      </c>
      <c r="Q106" s="79">
        <v>48.134635000000003</v>
      </c>
      <c r="R106" s="79">
        <v>52.28331</v>
      </c>
      <c r="S106" s="79">
        <v>47.421905000000002</v>
      </c>
      <c r="T106" s="80">
        <v>31.6</v>
      </c>
      <c r="U106" s="79">
        <v>33.573</v>
      </c>
      <c r="V106" s="79">
        <v>26.061790000000002</v>
      </c>
      <c r="W106" s="79">
        <v>25.357787000000002</v>
      </c>
      <c r="X106" s="80">
        <v>40.277732999999998</v>
      </c>
      <c r="Y106" s="79">
        <v>43.731180000000002</v>
      </c>
      <c r="Z106" s="79">
        <v>44.462441999999996</v>
      </c>
      <c r="AA106" s="79">
        <v>41.036541</v>
      </c>
      <c r="AB106" s="80">
        <v>41.091366000000001</v>
      </c>
      <c r="AC106" s="79">
        <v>40.676063999999997</v>
      </c>
      <c r="AD106" s="79">
        <v>40.122211999999998</v>
      </c>
      <c r="AE106" s="79">
        <v>37.104506000000001</v>
      </c>
      <c r="AF106" s="80">
        <v>40.021853999999998</v>
      </c>
      <c r="AG106" s="79">
        <v>44.567366</v>
      </c>
      <c r="AH106" s="79">
        <v>46.099185999999996</v>
      </c>
      <c r="AI106" s="79">
        <v>44.579377999999998</v>
      </c>
      <c r="AJ106" s="80">
        <v>40.273150000000001</v>
      </c>
      <c r="AK106" s="79">
        <v>42.481270000000002</v>
      </c>
      <c r="AL106" s="79">
        <v>97.64</v>
      </c>
      <c r="AM106" s="79">
        <v>66.34</v>
      </c>
      <c r="AN106" s="80">
        <v>37.91827</v>
      </c>
      <c r="AO106" s="79">
        <v>33.520780000000002</v>
      </c>
      <c r="AP106" s="79">
        <v>35.562460000000002</v>
      </c>
      <c r="AQ106" s="79">
        <v>31.32</v>
      </c>
      <c r="AR106" s="80">
        <v>68.181640000000002</v>
      </c>
      <c r="AS106" s="81">
        <v>60.847920000000002</v>
      </c>
      <c r="AT106" s="79">
        <v>67.030349999999999</v>
      </c>
      <c r="AU106" s="79">
        <v>67.896830000000008</v>
      </c>
      <c r="AV106" s="80">
        <v>61.895899999999997</v>
      </c>
      <c r="AW106" s="81">
        <v>52.550069999999998</v>
      </c>
      <c r="AX106" s="79">
        <v>52.628480000000003</v>
      </c>
      <c r="AY106" s="79">
        <v>50.583710000000004</v>
      </c>
      <c r="AZ106" s="82">
        <v>47.874049999999997</v>
      </c>
      <c r="BA106" s="83">
        <v>47.510300000000001</v>
      </c>
      <c r="BB106" s="83">
        <v>50.696910000000003</v>
      </c>
      <c r="BC106" s="83">
        <v>46.215510000000002</v>
      </c>
      <c r="BD106" s="82">
        <v>22.999279999999999</v>
      </c>
      <c r="BE106" s="83">
        <v>0</v>
      </c>
      <c r="BF106" s="83">
        <v>13.96086</v>
      </c>
      <c r="BG106" s="83">
        <v>13.500220000000001</v>
      </c>
      <c r="BH106" s="82">
        <v>12.602449999999999</v>
      </c>
      <c r="BI106" s="84">
        <v>12.587249999999997</v>
      </c>
      <c r="BJ106" s="84">
        <v>14.249579999999998</v>
      </c>
      <c r="BK106" s="84">
        <v>8784.3300600000002</v>
      </c>
      <c r="BL106" s="85">
        <v>13931.42</v>
      </c>
      <c r="BM106" s="86">
        <v>14864.46</v>
      </c>
      <c r="BN106" s="86">
        <v>18114.5</v>
      </c>
      <c r="BO106" s="86">
        <v>18173.919999999998</v>
      </c>
      <c r="BP106" s="85">
        <v>11455.119999999999</v>
      </c>
      <c r="BQ106" s="87">
        <v>14922.58</v>
      </c>
      <c r="BR106" s="87">
        <v>18146.849999999999</v>
      </c>
      <c r="BS106" s="87">
        <v>17711.21</v>
      </c>
      <c r="BT106" s="85">
        <v>22467.82</v>
      </c>
      <c r="BU106" s="87">
        <v>19633.309999999998</v>
      </c>
      <c r="BV106" s="87">
        <v>24642.1</v>
      </c>
      <c r="BW106" s="87">
        <v>20864.29</v>
      </c>
      <c r="BX106" s="85">
        <v>17899</v>
      </c>
      <c r="BY106" s="87">
        <v>17355.199999999997</v>
      </c>
      <c r="BZ106" s="87">
        <v>20655.300000000003</v>
      </c>
      <c r="CA106" s="87">
        <v>19312.05</v>
      </c>
      <c r="CB106" s="85">
        <v>21081.239000000001</v>
      </c>
      <c r="CC106" s="87">
        <v>20314.88</v>
      </c>
      <c r="CD106" s="87">
        <v>23930.01</v>
      </c>
      <c r="CE106" s="87">
        <v>7674.86</v>
      </c>
      <c r="CF106" s="85">
        <v>22101.536</v>
      </c>
      <c r="CG106" s="86">
        <v>20667.166000000001</v>
      </c>
      <c r="CH106" s="88">
        <v>27707.370000000003</v>
      </c>
      <c r="CI106" s="89">
        <v>25049.663999999997</v>
      </c>
      <c r="CJ106" s="85">
        <v>24610.94</v>
      </c>
      <c r="CK106" s="86">
        <v>26295.96</v>
      </c>
      <c r="CL106" s="88">
        <v>28805.73</v>
      </c>
      <c r="CM106" s="89">
        <v>25157.58</v>
      </c>
      <c r="CN106" s="85">
        <v>0</v>
      </c>
      <c r="CO106" s="86">
        <v>55685.64</v>
      </c>
      <c r="CP106" s="88">
        <v>46333.16</v>
      </c>
      <c r="CQ106" s="89">
        <v>34021.271588731004</v>
      </c>
      <c r="CR106" s="85">
        <v>30123.349000000002</v>
      </c>
      <c r="CS106" s="86">
        <v>28338.254000000001</v>
      </c>
      <c r="CT106" s="88">
        <v>31451.582999999999</v>
      </c>
      <c r="CU106" s="89">
        <v>31556.475000000002</v>
      </c>
      <c r="CV106" s="85">
        <v>36547.116000000002</v>
      </c>
      <c r="CW106" s="86">
        <v>38052.751999999993</v>
      </c>
      <c r="CX106" s="88">
        <v>42459.300300000003</v>
      </c>
      <c r="CY106" s="89">
        <v>49062.503360000002</v>
      </c>
      <c r="CZ106" s="86">
        <v>95883.063339999993</v>
      </c>
      <c r="DA106" s="86">
        <v>77473.153680000003</v>
      </c>
      <c r="DB106" s="86">
        <v>77091.926359999998</v>
      </c>
      <c r="DC106" s="89">
        <v>65918.050593333319</v>
      </c>
      <c r="DD106" s="86">
        <v>69290.205933333331</v>
      </c>
      <c r="DE106" s="86">
        <v>47968.868130000003</v>
      </c>
      <c r="DF106" s="86">
        <v>56941.296499999997</v>
      </c>
      <c r="DG106" s="89">
        <v>54608.154966666669</v>
      </c>
      <c r="DH106" s="150"/>
      <c r="DI106" s="150"/>
      <c r="DJ106" s="150"/>
      <c r="DK106" s="150"/>
    </row>
    <row r="107" spans="1:115" s="64" customFormat="1" x14ac:dyDescent="0.3">
      <c r="A107" s="33" t="s">
        <v>160</v>
      </c>
      <c r="B107" s="79"/>
      <c r="C107" s="79"/>
      <c r="D107" s="80"/>
      <c r="E107" s="79"/>
      <c r="F107" s="79"/>
      <c r="G107" s="79"/>
      <c r="H107" s="80"/>
      <c r="I107" s="79"/>
      <c r="J107" s="79"/>
      <c r="K107" s="79"/>
      <c r="L107" s="80"/>
      <c r="M107" s="79"/>
      <c r="N107" s="79"/>
      <c r="O107" s="79"/>
      <c r="P107" s="80"/>
      <c r="Q107" s="79"/>
      <c r="R107" s="79"/>
      <c r="S107" s="79"/>
      <c r="T107" s="80"/>
      <c r="U107" s="79"/>
      <c r="V107" s="79"/>
      <c r="W107" s="79"/>
      <c r="X107" s="80"/>
      <c r="Y107" s="79"/>
      <c r="Z107" s="79"/>
      <c r="AA107" s="79"/>
      <c r="AB107" s="80"/>
      <c r="AC107" s="79"/>
      <c r="AD107" s="79"/>
      <c r="AE107" s="79"/>
      <c r="AF107" s="80"/>
      <c r="AG107" s="79"/>
      <c r="AH107" s="79"/>
      <c r="AI107" s="79"/>
      <c r="AJ107" s="80"/>
      <c r="AK107" s="79"/>
      <c r="AL107" s="79"/>
      <c r="AM107" s="79"/>
      <c r="AN107" s="80"/>
      <c r="AO107" s="79"/>
      <c r="AP107" s="79"/>
      <c r="AQ107" s="79"/>
      <c r="AR107" s="80"/>
      <c r="AS107" s="81"/>
      <c r="AT107" s="79"/>
      <c r="AU107" s="79"/>
      <c r="AV107" s="80"/>
      <c r="AW107" s="81"/>
      <c r="AX107" s="79"/>
      <c r="AY107" s="79"/>
      <c r="AZ107" s="82"/>
      <c r="BA107" s="83"/>
      <c r="BB107" s="83"/>
      <c r="BC107" s="83"/>
      <c r="BD107" s="82"/>
      <c r="BE107" s="83"/>
      <c r="BF107" s="83"/>
      <c r="BG107" s="83"/>
      <c r="BH107" s="82"/>
      <c r="BI107" s="84"/>
      <c r="BJ107" s="84"/>
      <c r="BK107" s="84"/>
      <c r="BL107" s="85"/>
      <c r="BM107" s="86"/>
      <c r="BN107" s="86"/>
      <c r="BO107" s="86"/>
      <c r="BP107" s="85"/>
      <c r="BQ107" s="87"/>
      <c r="BR107" s="87"/>
      <c r="BS107" s="87"/>
      <c r="BT107" s="85"/>
      <c r="BU107" s="87"/>
      <c r="BV107" s="87"/>
      <c r="BW107" s="87"/>
      <c r="BX107" s="85"/>
      <c r="BY107" s="87"/>
      <c r="BZ107" s="87"/>
      <c r="CA107" s="87"/>
      <c r="CB107" s="85"/>
      <c r="CC107" s="87"/>
      <c r="CD107" s="87"/>
      <c r="CE107" s="87"/>
      <c r="CF107" s="85">
        <v>5212.9470000000001</v>
      </c>
      <c r="CG107" s="86">
        <v>2423.6999999999998</v>
      </c>
      <c r="CH107" s="88">
        <v>1766.77</v>
      </c>
      <c r="CI107" s="89">
        <v>4267.5181899999998</v>
      </c>
      <c r="CJ107" s="85">
        <v>5645</v>
      </c>
      <c r="CK107" s="86">
        <v>5486.31</v>
      </c>
      <c r="CL107" s="88">
        <v>4846.24</v>
      </c>
      <c r="CM107" s="89">
        <v>6945.24</v>
      </c>
      <c r="CN107" s="85">
        <v>4845.933</v>
      </c>
      <c r="CO107" s="86">
        <v>5238.29</v>
      </c>
      <c r="CP107" s="88">
        <v>3545.2949999999996</v>
      </c>
      <c r="CQ107" s="89">
        <v>4512.8389999999999</v>
      </c>
      <c r="CR107" s="85">
        <v>5083.9529999999995</v>
      </c>
      <c r="CS107" s="86">
        <v>4416.6200000000008</v>
      </c>
      <c r="CT107" s="88">
        <v>3883.4520000000002</v>
      </c>
      <c r="CU107" s="89">
        <v>1995.0070000000001</v>
      </c>
      <c r="CV107" s="85">
        <v>2967.7809999999999</v>
      </c>
      <c r="CW107" s="86">
        <v>4999.5739999999996</v>
      </c>
      <c r="CX107" s="88">
        <v>4489.7109999999993</v>
      </c>
      <c r="CY107" s="89">
        <v>5477.45</v>
      </c>
      <c r="CZ107" s="86">
        <v>4608.8409999999994</v>
      </c>
      <c r="DA107" s="86">
        <v>6524.2639999999992</v>
      </c>
      <c r="DB107" s="86">
        <v>3517.5590000000002</v>
      </c>
      <c r="DC107" s="89">
        <v>5712.0619999999999</v>
      </c>
      <c r="DD107" s="86">
        <v>4816.7795000000006</v>
      </c>
      <c r="DE107" s="86">
        <v>5066.6710000000003</v>
      </c>
      <c r="DF107" s="86">
        <v>5164.2524000000003</v>
      </c>
      <c r="DG107" s="89">
        <v>6813.500469999999</v>
      </c>
      <c r="DH107" s="150"/>
      <c r="DI107" s="150"/>
      <c r="DJ107" s="150"/>
      <c r="DK107" s="150"/>
    </row>
    <row r="108" spans="1:115" s="64" customFormat="1" x14ac:dyDescent="0.3">
      <c r="A108" s="90"/>
      <c r="B108" s="90"/>
      <c r="C108" s="90"/>
      <c r="D108" s="91"/>
      <c r="E108" s="90"/>
      <c r="F108" s="90"/>
      <c r="G108" s="90"/>
      <c r="H108" s="91"/>
      <c r="I108" s="90"/>
      <c r="J108" s="90"/>
      <c r="K108" s="90"/>
      <c r="L108" s="91"/>
      <c r="M108" s="90"/>
      <c r="N108" s="90"/>
      <c r="O108" s="90"/>
      <c r="P108" s="91"/>
      <c r="Q108" s="90"/>
      <c r="R108" s="90"/>
      <c r="S108" s="90"/>
      <c r="T108" s="91"/>
      <c r="U108" s="90"/>
      <c r="V108" s="90"/>
      <c r="W108" s="90"/>
      <c r="X108" s="91"/>
      <c r="Y108" s="90"/>
      <c r="Z108" s="90"/>
      <c r="AA108" s="90"/>
      <c r="AB108" s="91"/>
      <c r="AC108" s="90"/>
      <c r="AD108" s="90"/>
      <c r="AE108" s="90"/>
      <c r="AF108" s="91"/>
      <c r="AG108" s="90"/>
      <c r="AH108" s="90"/>
      <c r="AI108" s="90"/>
      <c r="AJ108" s="91"/>
      <c r="AK108" s="90"/>
      <c r="AL108" s="90"/>
      <c r="AM108" s="90"/>
      <c r="AN108" s="91"/>
      <c r="AO108" s="90"/>
      <c r="AP108" s="90"/>
      <c r="AQ108" s="90"/>
      <c r="AR108" s="91"/>
      <c r="AS108" s="90"/>
      <c r="AT108" s="90"/>
      <c r="AU108" s="90"/>
      <c r="AV108" s="91"/>
      <c r="AW108" s="90"/>
      <c r="AX108" s="90"/>
      <c r="AY108" s="90"/>
      <c r="AZ108" s="91"/>
      <c r="BA108" s="90"/>
      <c r="BB108" s="90"/>
      <c r="BC108" s="90"/>
      <c r="BD108" s="91"/>
      <c r="BE108" s="90"/>
      <c r="BF108" s="90"/>
      <c r="BG108" s="90"/>
      <c r="BH108" s="91"/>
      <c r="BI108" s="90"/>
      <c r="BJ108" s="90"/>
      <c r="BK108" s="90"/>
      <c r="BL108" s="91"/>
      <c r="BM108" s="90"/>
      <c r="BN108" s="90"/>
      <c r="BO108" s="90"/>
      <c r="BP108" s="91"/>
      <c r="BQ108" s="90"/>
      <c r="BR108" s="90"/>
      <c r="BS108" s="90"/>
      <c r="BT108" s="91"/>
      <c r="BU108" s="90"/>
      <c r="BV108" s="90"/>
      <c r="BW108" s="90"/>
      <c r="BX108" s="91"/>
      <c r="BY108" s="90"/>
      <c r="BZ108" s="90"/>
      <c r="CA108" s="90"/>
      <c r="CB108" s="91"/>
      <c r="CC108" s="90"/>
      <c r="CD108" s="90"/>
      <c r="CE108" s="90"/>
      <c r="CF108" s="91"/>
      <c r="CG108" s="90"/>
      <c r="CH108" s="90"/>
      <c r="CI108" s="92"/>
      <c r="CJ108" s="91"/>
      <c r="CK108" s="90"/>
      <c r="CL108" s="90"/>
      <c r="CM108" s="92"/>
      <c r="CN108" s="91"/>
      <c r="CO108" s="90"/>
      <c r="CP108" s="90"/>
      <c r="CQ108" s="92"/>
      <c r="CR108" s="91"/>
      <c r="CS108" s="90"/>
      <c r="CT108" s="90"/>
      <c r="CU108" s="92"/>
      <c r="CV108" s="91"/>
      <c r="CW108" s="90"/>
      <c r="CX108" s="90"/>
      <c r="CY108" s="92"/>
      <c r="CZ108" s="91"/>
      <c r="DA108" s="90"/>
      <c r="DB108" s="90"/>
      <c r="DC108" s="92"/>
      <c r="DD108" s="91"/>
      <c r="DE108" s="90"/>
      <c r="DF108" s="90"/>
      <c r="DG108" s="92"/>
    </row>
    <row r="109" spans="1:115" s="64" customFormat="1" x14ac:dyDescent="0.3">
      <c r="A109" s="65"/>
      <c r="B109" s="65"/>
      <c r="C109" s="65"/>
      <c r="D109" s="65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CH109" s="33"/>
    </row>
    <row r="110" spans="1:115" s="64" customFormat="1" x14ac:dyDescent="0.3">
      <c r="A110" s="65" t="s">
        <v>41</v>
      </c>
      <c r="B110" s="65"/>
      <c r="C110" s="65"/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</row>
    <row r="111" spans="1:115" s="64" customFormat="1" x14ac:dyDescent="0.3">
      <c r="A111" s="65" t="s">
        <v>106</v>
      </c>
      <c r="B111" s="65"/>
      <c r="C111" s="65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</row>
    <row r="112" spans="1:115" s="64" customFormat="1" x14ac:dyDescent="0.3">
      <c r="A112" s="65" t="s">
        <v>107</v>
      </c>
      <c r="B112" s="65"/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</row>
    <row r="113" spans="1:15" s="64" customFormat="1" x14ac:dyDescent="0.3">
      <c r="A113" s="65"/>
      <c r="B113" s="65"/>
      <c r="C113" s="65"/>
      <c r="D113" s="65"/>
      <c r="E113" s="65"/>
      <c r="F113" s="65"/>
      <c r="G113" s="65"/>
      <c r="H113" s="65"/>
      <c r="I113" s="65"/>
      <c r="J113" s="65"/>
      <c r="K113" s="65"/>
      <c r="L113" s="65"/>
      <c r="M113" s="65"/>
      <c r="N113" s="65"/>
      <c r="O113" s="65"/>
    </row>
    <row r="114" spans="1:15" s="64" customFormat="1" x14ac:dyDescent="0.3">
      <c r="A114" s="65" t="s">
        <v>110</v>
      </c>
      <c r="B114" s="65"/>
      <c r="C114" s="65"/>
      <c r="D114" s="65"/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65"/>
    </row>
  </sheetData>
  <mergeCells count="13">
    <mergeCell ref="DD79:DG79"/>
    <mergeCell ref="CB79:CE79"/>
    <mergeCell ref="CN79:CQ79"/>
    <mergeCell ref="BH79:BK79"/>
    <mergeCell ref="BL79:BO79"/>
    <mergeCell ref="BP79:BS79"/>
    <mergeCell ref="BT79:BW79"/>
    <mergeCell ref="BX79:CA79"/>
    <mergeCell ref="CZ79:DC79"/>
    <mergeCell ref="CV79:CY79"/>
    <mergeCell ref="CR79:CU79"/>
    <mergeCell ref="CJ79:CM79"/>
    <mergeCell ref="CF79:CI79"/>
  </mergeCells>
  <hyperlinks>
    <hyperlink ref="A1" location="'Table of Contents'!A1" display="Back to the Table of Contents" xr:uid="{00000000-0004-0000-0200-000000000000}"/>
  </hyperlinks>
  <pageMargins left="0.7" right="0.7" top="0.75" bottom="0.75" header="0.3" footer="0.3"/>
  <pageSetup orientation="portrait" r:id="rId1"/>
  <ignoredErrors>
    <ignoredError sqref="BX79 CA79:CJ7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39"/>
  <sheetViews>
    <sheetView zoomScale="90" zoomScaleNormal="90" workbookViewId="0">
      <pane xSplit="1" ySplit="4" topLeftCell="Z5" activePane="bottomRight" state="frozen"/>
      <selection pane="topRight" activeCell="B1" sqref="B1"/>
      <selection pane="bottomLeft" activeCell="A4" sqref="A4"/>
      <selection pane="bottomRight" activeCell="C13" sqref="C13:AD13"/>
    </sheetView>
  </sheetViews>
  <sheetFormatPr defaultColWidth="9.109375" defaultRowHeight="15.6" x14ac:dyDescent="0.3"/>
  <cols>
    <col min="1" max="1" width="63.5546875" style="2" customWidth="1"/>
    <col min="2" max="2" width="9.6640625" style="2" customWidth="1"/>
    <col min="3" max="28" width="10.88671875" style="2" bestFit="1" customWidth="1"/>
    <col min="29" max="30" width="11.5546875" style="2" bestFit="1" customWidth="1"/>
    <col min="31" max="16384" width="9.109375" style="28"/>
  </cols>
  <sheetData>
    <row r="1" spans="1:114" x14ac:dyDescent="0.3">
      <c r="A1" s="140" t="s">
        <v>182</v>
      </c>
    </row>
    <row r="2" spans="1:114" ht="21" x14ac:dyDescent="0.4">
      <c r="A2" s="127" t="s">
        <v>148</v>
      </c>
    </row>
    <row r="3" spans="1:114" s="94" customFormat="1" x14ac:dyDescent="0.3">
      <c r="A3" s="93"/>
      <c r="B3" s="93"/>
      <c r="C3" s="93" t="s">
        <v>70</v>
      </c>
      <c r="D3" s="93" t="s">
        <v>70</v>
      </c>
      <c r="E3" s="93" t="s">
        <v>70</v>
      </c>
      <c r="F3" s="93" t="s">
        <v>70</v>
      </c>
      <c r="G3" s="93" t="s">
        <v>70</v>
      </c>
      <c r="H3" s="93" t="s">
        <v>70</v>
      </c>
      <c r="I3" s="93" t="s">
        <v>70</v>
      </c>
      <c r="J3" s="93" t="s">
        <v>70</v>
      </c>
      <c r="K3" s="93" t="s">
        <v>70</v>
      </c>
      <c r="L3" s="93" t="s">
        <v>70</v>
      </c>
      <c r="M3" s="93" t="s">
        <v>70</v>
      </c>
      <c r="N3" s="93" t="s">
        <v>70</v>
      </c>
      <c r="O3" s="93" t="s">
        <v>70</v>
      </c>
      <c r="P3" s="93" t="s">
        <v>70</v>
      </c>
      <c r="Q3" s="93" t="s">
        <v>70</v>
      </c>
      <c r="R3" s="93" t="s">
        <v>70</v>
      </c>
      <c r="S3" s="93" t="s">
        <v>70</v>
      </c>
      <c r="T3" s="93" t="s">
        <v>70</v>
      </c>
      <c r="U3" s="93" t="s">
        <v>70</v>
      </c>
      <c r="V3" s="93" t="s">
        <v>70</v>
      </c>
      <c r="W3" s="93" t="s">
        <v>70</v>
      </c>
      <c r="X3" s="93" t="s">
        <v>70</v>
      </c>
      <c r="Y3" s="93" t="s">
        <v>70</v>
      </c>
      <c r="Z3" s="93" t="s">
        <v>70</v>
      </c>
      <c r="AA3" s="93" t="s">
        <v>70</v>
      </c>
      <c r="AB3" s="93" t="s">
        <v>70</v>
      </c>
      <c r="AC3" s="93" t="s">
        <v>70</v>
      </c>
      <c r="AD3" s="93" t="s">
        <v>70</v>
      </c>
      <c r="AE3" s="143"/>
      <c r="AF3" s="143"/>
      <c r="AG3" s="143"/>
      <c r="AH3" s="143"/>
      <c r="AI3" s="143"/>
      <c r="AJ3" s="143"/>
      <c r="AK3" s="143"/>
      <c r="AL3" s="143"/>
      <c r="AM3" s="143"/>
      <c r="AN3" s="143"/>
      <c r="AO3" s="143"/>
      <c r="AP3" s="143"/>
      <c r="AQ3" s="143"/>
      <c r="AR3" s="143"/>
      <c r="AS3" s="143"/>
      <c r="AT3" s="143"/>
      <c r="AU3" s="143"/>
      <c r="AV3" s="143"/>
      <c r="AW3" s="143"/>
      <c r="AX3" s="143"/>
      <c r="AY3" s="143"/>
      <c r="AZ3" s="143"/>
      <c r="BA3" s="143"/>
      <c r="BB3" s="143"/>
      <c r="BC3" s="143"/>
      <c r="BD3" s="143"/>
      <c r="BE3" s="143"/>
      <c r="BF3" s="143"/>
      <c r="BG3" s="143"/>
      <c r="BH3" s="143"/>
      <c r="BI3" s="143"/>
      <c r="BJ3" s="143"/>
      <c r="BK3" s="143"/>
      <c r="BL3" s="143"/>
      <c r="BM3" s="143"/>
      <c r="BN3" s="143"/>
      <c r="BO3" s="143"/>
      <c r="BP3" s="143"/>
      <c r="BQ3" s="143"/>
      <c r="BR3" s="143"/>
      <c r="BS3" s="143"/>
      <c r="BT3" s="143"/>
      <c r="BU3" s="143"/>
      <c r="BV3" s="143"/>
      <c r="BW3" s="143"/>
      <c r="BX3" s="143"/>
      <c r="BY3" s="143"/>
      <c r="BZ3" s="143"/>
      <c r="CA3" s="143"/>
      <c r="CB3" s="143"/>
      <c r="CC3" s="143"/>
      <c r="CD3" s="143"/>
      <c r="CE3" s="143"/>
      <c r="CF3" s="143"/>
      <c r="CG3" s="143"/>
      <c r="CH3" s="143"/>
      <c r="CI3" s="143"/>
      <c r="CJ3" s="143"/>
      <c r="CK3" s="143"/>
      <c r="CL3" s="143"/>
      <c r="CM3" s="143"/>
      <c r="CN3" s="143"/>
      <c r="CO3" s="143"/>
      <c r="CP3" s="143"/>
      <c r="CQ3" s="143"/>
      <c r="CR3" s="143"/>
      <c r="CS3" s="143"/>
      <c r="CT3" s="143"/>
      <c r="CU3" s="143"/>
      <c r="CV3" s="143"/>
      <c r="CW3" s="143"/>
      <c r="CX3" s="143"/>
      <c r="CY3" s="143"/>
      <c r="CZ3" s="143"/>
      <c r="DA3" s="143"/>
      <c r="DB3" s="143"/>
      <c r="DC3" s="143"/>
      <c r="DD3" s="143"/>
      <c r="DE3" s="143"/>
      <c r="DF3" s="143"/>
      <c r="DG3" s="143"/>
      <c r="DH3" s="143"/>
      <c r="DI3" s="143"/>
      <c r="DJ3" s="143"/>
    </row>
    <row r="4" spans="1:114" s="94" customFormat="1" x14ac:dyDescent="0.3">
      <c r="A4" s="95"/>
      <c r="B4" s="96"/>
      <c r="C4" s="95" t="s">
        <v>142</v>
      </c>
      <c r="D4" s="95" t="s">
        <v>143</v>
      </c>
      <c r="E4" s="95" t="s">
        <v>144</v>
      </c>
      <c r="F4" s="95" t="s">
        <v>139</v>
      </c>
      <c r="G4" s="95" t="s">
        <v>140</v>
      </c>
      <c r="H4" s="95" t="s">
        <v>141</v>
      </c>
      <c r="I4" s="95" t="s">
        <v>71</v>
      </c>
      <c r="J4" s="95" t="s">
        <v>72</v>
      </c>
      <c r="K4" s="95" t="s">
        <v>73</v>
      </c>
      <c r="L4" s="95" t="s">
        <v>74</v>
      </c>
      <c r="M4" s="95" t="s">
        <v>75</v>
      </c>
      <c r="N4" s="95" t="s">
        <v>76</v>
      </c>
      <c r="O4" s="95" t="s">
        <v>130</v>
      </c>
      <c r="P4" s="95" t="s">
        <v>131</v>
      </c>
      <c r="Q4" s="95" t="s">
        <v>132</v>
      </c>
      <c r="R4" s="95" t="s">
        <v>133</v>
      </c>
      <c r="S4" s="95" t="s">
        <v>134</v>
      </c>
      <c r="T4" s="95" t="s">
        <v>135</v>
      </c>
      <c r="U4" s="95" t="s">
        <v>136</v>
      </c>
      <c r="V4" s="95" t="s">
        <v>137</v>
      </c>
      <c r="W4" s="95" t="s">
        <v>138</v>
      </c>
      <c r="X4" s="95" t="s">
        <v>156</v>
      </c>
      <c r="Y4" s="95" t="s">
        <v>161</v>
      </c>
      <c r="Z4" s="95" t="s">
        <v>195</v>
      </c>
      <c r="AA4" s="95" t="s">
        <v>196</v>
      </c>
      <c r="AB4" s="95" t="s">
        <v>200</v>
      </c>
      <c r="AC4" s="95" t="s">
        <v>202</v>
      </c>
      <c r="AD4" s="95" t="s">
        <v>204</v>
      </c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3"/>
      <c r="BZ4" s="143"/>
      <c r="CA4" s="143"/>
      <c r="CB4" s="143"/>
      <c r="CC4" s="143"/>
      <c r="CD4" s="143"/>
      <c r="CE4" s="143"/>
      <c r="CF4" s="143"/>
      <c r="CG4" s="143"/>
      <c r="CH4" s="143"/>
      <c r="CI4" s="143"/>
      <c r="CJ4" s="143"/>
      <c r="CK4" s="143"/>
      <c r="CL4" s="143"/>
      <c r="CM4" s="143"/>
      <c r="CN4" s="143"/>
      <c r="CO4" s="143"/>
      <c r="CP4" s="143"/>
      <c r="CQ4" s="143"/>
      <c r="CR4" s="143"/>
      <c r="CS4" s="143"/>
      <c r="CT4" s="143"/>
      <c r="CU4" s="143"/>
      <c r="CV4" s="143"/>
      <c r="CW4" s="143"/>
      <c r="CX4" s="143"/>
      <c r="CY4" s="143"/>
      <c r="CZ4" s="143"/>
      <c r="DA4" s="143"/>
      <c r="DB4" s="143"/>
      <c r="DC4" s="143"/>
      <c r="DD4" s="143"/>
      <c r="DE4" s="143"/>
      <c r="DF4" s="143"/>
      <c r="DG4" s="143"/>
      <c r="DH4" s="143"/>
      <c r="DI4" s="143"/>
      <c r="DJ4" s="143"/>
    </row>
    <row r="5" spans="1:114" x14ac:dyDescent="0.3">
      <c r="A5" s="97" t="s">
        <v>77</v>
      </c>
      <c r="B5" s="98"/>
      <c r="C5" s="99"/>
      <c r="D5" s="99"/>
      <c r="E5" s="99"/>
      <c r="F5" s="98">
        <v>461.55247932000003</v>
      </c>
      <c r="G5" s="98">
        <v>554.20392654132206</v>
      </c>
      <c r="H5" s="98">
        <v>638.60252031610946</v>
      </c>
      <c r="I5" s="98">
        <v>592.63363745044069</v>
      </c>
      <c r="J5" s="98">
        <v>510.20036000000005</v>
      </c>
      <c r="K5" s="98">
        <v>485.75853699999999</v>
      </c>
      <c r="L5" s="98">
        <v>440.89679799999999</v>
      </c>
      <c r="M5" s="98">
        <v>467.23790772999996</v>
      </c>
      <c r="N5" s="98">
        <v>478.16994469000002</v>
      </c>
      <c r="O5" s="98">
        <v>572.21773578024067</v>
      </c>
      <c r="P5" s="98">
        <v>759.12329230355044</v>
      </c>
      <c r="Q5" s="98">
        <v>1015.8575762569038</v>
      </c>
      <c r="R5" s="98">
        <v>1187.6391501417922</v>
      </c>
      <c r="S5" s="98">
        <v>1776.155108608076</v>
      </c>
      <c r="T5" s="98">
        <v>2207.6287433364487</v>
      </c>
      <c r="U5" s="98">
        <v>2326.5619943395204</v>
      </c>
      <c r="V5" s="98">
        <v>2163.974070528182</v>
      </c>
      <c r="W5" s="98">
        <v>2519.1266426377088</v>
      </c>
      <c r="X5" s="98">
        <v>2810.4808767836362</v>
      </c>
      <c r="Y5" s="98">
        <v>2828.7147395904572</v>
      </c>
      <c r="Z5" s="98">
        <v>2724.7731327444044</v>
      </c>
      <c r="AA5" s="98">
        <v>2667.1861668038637</v>
      </c>
      <c r="AB5" s="98">
        <v>2921.2467708746531</v>
      </c>
      <c r="AC5" s="98">
        <v>3449.9073783477893</v>
      </c>
      <c r="AD5" s="98">
        <v>3638.2976139376742</v>
      </c>
    </row>
    <row r="6" spans="1:114" x14ac:dyDescent="0.3">
      <c r="A6" s="20"/>
      <c r="B6" s="100"/>
      <c r="C6" s="101"/>
      <c r="D6" s="101"/>
      <c r="E6" s="101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</row>
    <row r="7" spans="1:114" x14ac:dyDescent="0.3">
      <c r="A7" s="97" t="s">
        <v>1</v>
      </c>
      <c r="B7" s="98"/>
      <c r="C7" s="99"/>
      <c r="D7" s="99"/>
      <c r="E7" s="99"/>
      <c r="F7" s="98">
        <v>356.90547086999999</v>
      </c>
      <c r="G7" s="98">
        <v>419.00444700000003</v>
      </c>
      <c r="H7" s="98">
        <v>396.09204499999998</v>
      </c>
      <c r="I7" s="98">
        <v>310.36004099999997</v>
      </c>
      <c r="J7" s="98">
        <v>294.97184700000003</v>
      </c>
      <c r="K7" s="98">
        <v>274.34836200000001</v>
      </c>
      <c r="L7" s="98">
        <v>125.38778699999999</v>
      </c>
      <c r="M7" s="98">
        <v>97.629392999999993</v>
      </c>
      <c r="N7" s="98">
        <v>96.634777999999997</v>
      </c>
      <c r="O7" s="98">
        <v>99.109391000000002</v>
      </c>
      <c r="P7" s="98">
        <v>123.13923853999999</v>
      </c>
      <c r="Q7" s="98">
        <v>171.68885900000001</v>
      </c>
      <c r="R7" s="98">
        <v>190.255999</v>
      </c>
      <c r="S7" s="98">
        <v>266.649925</v>
      </c>
      <c r="T7" s="98">
        <v>398.119845</v>
      </c>
      <c r="U7" s="98">
        <v>280.20795199999998</v>
      </c>
      <c r="V7" s="98">
        <v>284.637</v>
      </c>
      <c r="W7" s="98">
        <v>466.66129796999996</v>
      </c>
      <c r="X7" s="98">
        <v>372.50377905000005</v>
      </c>
      <c r="Y7" s="98">
        <v>425.40609303999997</v>
      </c>
      <c r="Z7" s="98">
        <v>407.39690149</v>
      </c>
      <c r="AA7" s="98">
        <v>402.63368783999999</v>
      </c>
      <c r="AB7" s="98">
        <v>371.649314828</v>
      </c>
      <c r="AC7" s="98">
        <v>555.43933304000007</v>
      </c>
      <c r="AD7" s="98">
        <v>436.35906097999992</v>
      </c>
    </row>
    <row r="8" spans="1:114" x14ac:dyDescent="0.3">
      <c r="A8" s="20" t="s">
        <v>199</v>
      </c>
      <c r="B8" s="100"/>
      <c r="C8" s="101"/>
      <c r="D8" s="101"/>
      <c r="E8" s="101"/>
      <c r="F8" s="100">
        <v>3.3010340000000005</v>
      </c>
      <c r="G8" s="100">
        <v>3.0246960000000001</v>
      </c>
      <c r="H8" s="100">
        <v>4.6442870000000012</v>
      </c>
      <c r="I8" s="100">
        <v>3.5017620000000003</v>
      </c>
      <c r="J8" s="100">
        <v>3.2716810000000001</v>
      </c>
      <c r="K8" s="100">
        <v>3.8407970000000002</v>
      </c>
      <c r="L8" s="100">
        <v>2.514354</v>
      </c>
      <c r="M8" s="100">
        <v>3.0556590000000003</v>
      </c>
      <c r="N8" s="100">
        <v>3.3598569999999999</v>
      </c>
      <c r="O8" s="100">
        <v>2.3932020000000001</v>
      </c>
      <c r="P8" s="100">
        <v>2.6283209999999997</v>
      </c>
      <c r="Q8" s="100">
        <v>2.3751729999999998</v>
      </c>
      <c r="R8" s="100">
        <v>2.173019</v>
      </c>
      <c r="S8" s="100">
        <v>2.6931969999999996</v>
      </c>
      <c r="T8" s="100">
        <v>3.3125610000000001</v>
      </c>
      <c r="U8" s="100">
        <v>3.0226670000000002</v>
      </c>
      <c r="V8" s="100">
        <v>2.6572139999999997</v>
      </c>
      <c r="W8" s="100">
        <v>3.143386</v>
      </c>
      <c r="X8" s="100">
        <v>2.68637923</v>
      </c>
      <c r="Y8" s="100">
        <v>3.6857380000000002</v>
      </c>
      <c r="Z8" s="100">
        <v>3.4471780000000001</v>
      </c>
      <c r="AA8" s="100">
        <v>3.6010590000000002</v>
      </c>
      <c r="AB8" s="100">
        <v>3.5445069999999999</v>
      </c>
      <c r="AC8" s="100">
        <v>4.7760590000000001</v>
      </c>
      <c r="AD8" s="100">
        <v>4.1705170000000003</v>
      </c>
    </row>
    <row r="9" spans="1:114" x14ac:dyDescent="0.3">
      <c r="A9" s="20" t="s">
        <v>2</v>
      </c>
      <c r="B9" s="100"/>
      <c r="C9" s="101"/>
      <c r="D9" s="101"/>
      <c r="E9" s="101"/>
      <c r="F9" s="100">
        <v>23.122427656875679</v>
      </c>
      <c r="G9" s="100">
        <v>27.933029770623005</v>
      </c>
      <c r="H9" s="100">
        <v>17.194286926926388</v>
      </c>
      <c r="I9" s="100">
        <v>1.4801959107851936</v>
      </c>
      <c r="J9" s="100">
        <v>1.5125974136920251</v>
      </c>
      <c r="K9" s="100">
        <v>1.1863397791544594</v>
      </c>
      <c r="L9" s="100">
        <v>0.84238755783657771</v>
      </c>
      <c r="M9" s="100">
        <v>0.53408809475634433</v>
      </c>
      <c r="N9" s="100">
        <v>0.47935957790267064</v>
      </c>
      <c r="O9" s="100">
        <v>0.6899716813503185</v>
      </c>
      <c r="P9" s="100">
        <v>0.77975966608147096</v>
      </c>
      <c r="Q9" s="100">
        <v>1.2098689502312563</v>
      </c>
      <c r="R9" s="100">
        <v>1.4608343311694865</v>
      </c>
      <c r="S9" s="100">
        <v>1.6518191373413287</v>
      </c>
      <c r="T9" s="100">
        <v>2.001607612853709</v>
      </c>
      <c r="U9" s="100">
        <v>1.5444665647591707</v>
      </c>
      <c r="V9" s="100">
        <v>1.7836704006301218</v>
      </c>
      <c r="W9" s="100">
        <v>2.4780925248781203</v>
      </c>
      <c r="X9" s="100">
        <v>2.3125826769154569</v>
      </c>
      <c r="Y9" s="100">
        <v>1.9135087905274377</v>
      </c>
      <c r="Z9" s="100">
        <v>1.9864195526571389</v>
      </c>
      <c r="AA9" s="100">
        <v>1.8634966725066151</v>
      </c>
      <c r="AB9" s="100">
        <v>1.7475364690021302</v>
      </c>
      <c r="AC9" s="100">
        <v>1.938276352392911</v>
      </c>
      <c r="AD9" s="100">
        <v>1.7436864469177396</v>
      </c>
    </row>
    <row r="10" spans="1:114" x14ac:dyDescent="0.3">
      <c r="A10" s="20"/>
      <c r="B10" s="100"/>
      <c r="C10" s="101"/>
      <c r="D10" s="101"/>
      <c r="E10" s="101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</row>
    <row r="11" spans="1:114" x14ac:dyDescent="0.3">
      <c r="A11" s="97" t="s">
        <v>3</v>
      </c>
      <c r="B11" s="98"/>
      <c r="C11" s="99"/>
      <c r="D11" s="99"/>
      <c r="E11" s="99"/>
      <c r="F11" s="98">
        <v>104.64700845000002</v>
      </c>
      <c r="G11" s="98">
        <v>135.19947954132212</v>
      </c>
      <c r="H11" s="98">
        <v>242.51047531610934</v>
      </c>
      <c r="I11" s="98">
        <v>282.27359645044066</v>
      </c>
      <c r="J11" s="98">
        <v>215.22851299999999</v>
      </c>
      <c r="K11" s="98">
        <v>205.41017499999998</v>
      </c>
      <c r="L11" s="98">
        <v>315.50901099999999</v>
      </c>
      <c r="M11" s="98">
        <v>369.60851473000002</v>
      </c>
      <c r="N11" s="98">
        <v>381.53516668999998</v>
      </c>
      <c r="O11" s="98">
        <v>453.61441547160842</v>
      </c>
      <c r="P11" s="98">
        <v>566.11841683152386</v>
      </c>
      <c r="Q11" s="98">
        <v>643.86192006690385</v>
      </c>
      <c r="R11" s="98">
        <v>765.64211707179231</v>
      </c>
      <c r="S11" s="98">
        <v>1078.6377137386598</v>
      </c>
      <c r="T11" s="98">
        <v>1255.4241733767894</v>
      </c>
      <c r="U11" s="98">
        <v>1242.81</v>
      </c>
      <c r="V11" s="98">
        <v>1351.0002902381827</v>
      </c>
      <c r="W11" s="98">
        <v>1696.6286600273986</v>
      </c>
      <c r="X11" s="98">
        <v>1984.2513280681355</v>
      </c>
      <c r="Y11" s="98">
        <v>1982.0470164400003</v>
      </c>
      <c r="Z11" s="98">
        <v>1902.7855799100741</v>
      </c>
      <c r="AA11" s="98">
        <v>1865.4269100026236</v>
      </c>
      <c r="AB11" s="98">
        <v>2130.3615065439967</v>
      </c>
      <c r="AC11" s="98">
        <v>2345.4278236680593</v>
      </c>
      <c r="AD11" s="98">
        <v>2651.5217863886151</v>
      </c>
    </row>
    <row r="12" spans="1:114" x14ac:dyDescent="0.3">
      <c r="A12" s="20" t="s">
        <v>4</v>
      </c>
      <c r="B12" s="100"/>
      <c r="C12" s="101"/>
      <c r="D12" s="101"/>
      <c r="E12" s="101"/>
      <c r="F12" s="100">
        <v>2.5449999999999999</v>
      </c>
      <c r="G12" s="100">
        <v>2.4140000000000001</v>
      </c>
      <c r="H12" s="100">
        <v>3.6990000000000003</v>
      </c>
      <c r="I12" s="100">
        <v>11.69838882</v>
      </c>
      <c r="J12" s="100">
        <v>11.740395000000001</v>
      </c>
      <c r="K12" s="100">
        <v>13.214</v>
      </c>
      <c r="L12" s="100">
        <v>18.457000000000001</v>
      </c>
      <c r="M12" s="100">
        <v>11.002713</v>
      </c>
      <c r="N12" s="100">
        <v>16.431999999999999</v>
      </c>
      <c r="O12" s="100">
        <v>13.760999999999999</v>
      </c>
      <c r="P12" s="100">
        <v>12.071999999999999</v>
      </c>
      <c r="Q12" s="100">
        <v>4.3955458049112961</v>
      </c>
      <c r="R12" s="100">
        <v>5.2759999999999998</v>
      </c>
      <c r="S12" s="100">
        <v>9.3580000000000005</v>
      </c>
      <c r="T12" s="100">
        <v>11.661999999999999</v>
      </c>
      <c r="U12" s="100">
        <v>13.13</v>
      </c>
      <c r="V12" s="100">
        <v>12.524999999999999</v>
      </c>
      <c r="W12" s="100">
        <v>16.317148647397495</v>
      </c>
      <c r="X12" s="100">
        <v>15.615105830000001</v>
      </c>
      <c r="Y12" s="100">
        <v>17.280777199999999</v>
      </c>
      <c r="Z12" s="100">
        <v>34.204242440000002</v>
      </c>
      <c r="AA12" s="100">
        <v>17.030524221935728</v>
      </c>
      <c r="AB12" s="100">
        <v>21.324364735</v>
      </c>
      <c r="AC12" s="100">
        <v>56.100542100069561</v>
      </c>
      <c r="AD12" s="100">
        <v>36.400962099355553</v>
      </c>
    </row>
    <row r="13" spans="1:114" x14ac:dyDescent="0.3">
      <c r="A13" s="20" t="s">
        <v>5</v>
      </c>
      <c r="B13" s="100"/>
      <c r="C13" s="101"/>
      <c r="D13" s="101"/>
      <c r="E13" s="101"/>
      <c r="F13" s="100">
        <v>0</v>
      </c>
      <c r="G13" s="100">
        <v>25.389250000000001</v>
      </c>
      <c r="H13" s="100">
        <v>64.093000000000004</v>
      </c>
      <c r="I13" s="100">
        <v>80.587799970000006</v>
      </c>
      <c r="J13" s="100">
        <v>18.603000000000002</v>
      </c>
      <c r="K13" s="100">
        <v>38.36</v>
      </c>
      <c r="L13" s="100">
        <v>55.728999999999999</v>
      </c>
      <c r="M13" s="100">
        <v>50.353999999999999</v>
      </c>
      <c r="N13" s="100">
        <v>59.896999999999998</v>
      </c>
      <c r="O13" s="100">
        <v>45.756</v>
      </c>
      <c r="P13" s="100">
        <v>73.817999999999984</v>
      </c>
      <c r="Q13" s="100">
        <v>73.010064999999997</v>
      </c>
      <c r="R13" s="100">
        <v>122.93600000000001</v>
      </c>
      <c r="S13" s="100">
        <v>65.781000000000006</v>
      </c>
      <c r="T13" s="100">
        <v>50.274000000000001</v>
      </c>
      <c r="U13" s="100">
        <v>23.073999999999998</v>
      </c>
      <c r="V13" s="100">
        <v>30.076999999999998</v>
      </c>
      <c r="W13" s="100">
        <v>7.5424015099999995</v>
      </c>
      <c r="X13" s="100">
        <v>7.8196708999999993</v>
      </c>
      <c r="Y13" s="100">
        <v>3.2499338799999995</v>
      </c>
      <c r="Z13" s="100">
        <v>0.23714121599999999</v>
      </c>
      <c r="AA13" s="100">
        <v>35.749674397000007</v>
      </c>
      <c r="AB13" s="100">
        <v>339.54190860086919</v>
      </c>
      <c r="AC13" s="100">
        <v>417.91723567791894</v>
      </c>
      <c r="AD13" s="100">
        <v>514.88615474400956</v>
      </c>
    </row>
    <row r="14" spans="1:114" x14ac:dyDescent="0.3">
      <c r="A14" s="20" t="s">
        <v>6</v>
      </c>
      <c r="B14" s="100"/>
      <c r="C14" s="101"/>
      <c r="D14" s="101"/>
      <c r="E14" s="101"/>
      <c r="F14" s="100">
        <v>2.3780000000000001</v>
      </c>
      <c r="G14" s="100">
        <v>5.6069999999999993</v>
      </c>
      <c r="H14" s="100">
        <v>14.393311195000001</v>
      </c>
      <c r="I14" s="100">
        <v>29.323999999999998</v>
      </c>
      <c r="J14" s="100">
        <v>7.4749999999999996</v>
      </c>
      <c r="K14" s="100">
        <v>11.701000000000001</v>
      </c>
      <c r="L14" s="100">
        <v>22.133000000000003</v>
      </c>
      <c r="M14" s="100">
        <v>14.726800000000001</v>
      </c>
      <c r="N14" s="100">
        <v>18.100200000000001</v>
      </c>
      <c r="O14" s="100">
        <v>19.753</v>
      </c>
      <c r="P14" s="100">
        <v>44.828000000000003</v>
      </c>
      <c r="Q14" s="100">
        <v>38.21</v>
      </c>
      <c r="R14" s="100">
        <v>11.85</v>
      </c>
      <c r="S14" s="100">
        <v>22.497</v>
      </c>
      <c r="T14" s="100">
        <v>17.524999999999999</v>
      </c>
      <c r="U14" s="100">
        <v>19.637</v>
      </c>
      <c r="V14" s="100">
        <v>21.186</v>
      </c>
      <c r="W14" s="100">
        <v>85.875838179999988</v>
      </c>
      <c r="X14" s="100">
        <v>75.99778846000001</v>
      </c>
      <c r="Y14" s="100">
        <v>31.421913310000008</v>
      </c>
      <c r="Z14" s="100">
        <v>21.834505797762841</v>
      </c>
      <c r="AA14" s="100">
        <v>20.565472216157726</v>
      </c>
      <c r="AB14" s="100">
        <v>31.430954425513143</v>
      </c>
      <c r="AC14" s="100">
        <v>50.696177739331759</v>
      </c>
      <c r="AD14" s="100">
        <v>44.336144229574856</v>
      </c>
    </row>
    <row r="15" spans="1:114" x14ac:dyDescent="0.3">
      <c r="A15" s="20" t="s">
        <v>7</v>
      </c>
      <c r="B15" s="100"/>
      <c r="C15" s="101"/>
      <c r="D15" s="101"/>
      <c r="E15" s="101"/>
      <c r="F15" s="100">
        <v>11.866508450000003</v>
      </c>
      <c r="G15" s="100">
        <v>7.1427979999999991</v>
      </c>
      <c r="H15" s="100">
        <v>15.305256960000001</v>
      </c>
      <c r="I15" s="100">
        <v>30.483974999999997</v>
      </c>
      <c r="J15" s="100">
        <v>28.180668999999998</v>
      </c>
      <c r="K15" s="100">
        <v>22.37</v>
      </c>
      <c r="L15" s="100">
        <v>41.02</v>
      </c>
      <c r="M15" s="100">
        <v>30.430999999999997</v>
      </c>
      <c r="N15" s="100">
        <v>25.842967690000002</v>
      </c>
      <c r="O15" s="100">
        <v>36.273904330000001</v>
      </c>
      <c r="P15" s="100">
        <v>35.459000000000003</v>
      </c>
      <c r="Q15" s="100">
        <v>33.969000000000001</v>
      </c>
      <c r="R15" s="100">
        <v>30.389999999999997</v>
      </c>
      <c r="S15" s="100">
        <v>47.628999999999998</v>
      </c>
      <c r="T15" s="100">
        <v>47.346000000000004</v>
      </c>
      <c r="U15" s="100">
        <v>58.614000000000004</v>
      </c>
      <c r="V15" s="100">
        <v>68.254999999999995</v>
      </c>
      <c r="W15" s="100">
        <v>71.814617340000012</v>
      </c>
      <c r="X15" s="100">
        <v>73.903245979999994</v>
      </c>
      <c r="Y15" s="100">
        <v>85.623403620000005</v>
      </c>
      <c r="Z15" s="100">
        <v>84.699644649060616</v>
      </c>
      <c r="AA15" s="100">
        <v>69.94071589696847</v>
      </c>
      <c r="AB15" s="100">
        <v>71.576654245661373</v>
      </c>
      <c r="AC15" s="100">
        <v>79.724551427874644</v>
      </c>
      <c r="AD15" s="100">
        <v>88.876676526097967</v>
      </c>
    </row>
    <row r="16" spans="1:114" x14ac:dyDescent="0.3">
      <c r="A16" s="20" t="s">
        <v>8</v>
      </c>
      <c r="B16" s="100"/>
      <c r="C16" s="101"/>
      <c r="D16" s="101"/>
      <c r="E16" s="101"/>
      <c r="F16" s="100">
        <v>6.5750000000000011</v>
      </c>
      <c r="G16" s="100">
        <v>9.4979999999999993</v>
      </c>
      <c r="H16" s="100">
        <v>4.9119999999999999</v>
      </c>
      <c r="I16" s="100">
        <v>12.837509000000001</v>
      </c>
      <c r="J16" s="100">
        <v>17.676000000000002</v>
      </c>
      <c r="K16" s="100">
        <v>14.707000000000001</v>
      </c>
      <c r="L16" s="100">
        <v>24.926000000000002</v>
      </c>
      <c r="M16" s="100">
        <v>31.2</v>
      </c>
      <c r="N16" s="100">
        <v>36.17</v>
      </c>
      <c r="O16" s="100">
        <v>38.406999999999996</v>
      </c>
      <c r="P16" s="100">
        <v>40.334000000000003</v>
      </c>
      <c r="Q16" s="100">
        <v>31.187591000000001</v>
      </c>
      <c r="R16" s="100">
        <v>27.588999999999999</v>
      </c>
      <c r="S16" s="100">
        <v>65.295999999999992</v>
      </c>
      <c r="T16" s="100">
        <v>72.725999999999999</v>
      </c>
      <c r="U16" s="100">
        <v>61.695</v>
      </c>
      <c r="V16" s="100">
        <v>69.350999999999999</v>
      </c>
      <c r="W16" s="100">
        <v>54.518660280000006</v>
      </c>
      <c r="X16" s="100">
        <v>61.588869979999984</v>
      </c>
      <c r="Y16" s="100">
        <v>114.94050383</v>
      </c>
      <c r="Z16" s="100">
        <v>65.270411366322037</v>
      </c>
      <c r="AA16" s="100">
        <v>73.134896294972265</v>
      </c>
      <c r="AB16" s="100">
        <v>61.728354038550755</v>
      </c>
      <c r="AC16" s="100">
        <v>46.217376421422102</v>
      </c>
      <c r="AD16" s="100">
        <v>78.464765939186051</v>
      </c>
    </row>
    <row r="17" spans="1:30" x14ac:dyDescent="0.3">
      <c r="A17" s="20" t="s">
        <v>9</v>
      </c>
      <c r="B17" s="100"/>
      <c r="C17" s="101"/>
      <c r="D17" s="101"/>
      <c r="E17" s="101"/>
      <c r="F17" s="100">
        <v>13.645</v>
      </c>
      <c r="G17" s="100">
        <v>24.062733699999999</v>
      </c>
      <c r="H17" s="100">
        <v>45.030999999999999</v>
      </c>
      <c r="I17" s="100">
        <v>30.063209000000001</v>
      </c>
      <c r="J17" s="100">
        <v>39.408000000000001</v>
      </c>
      <c r="K17" s="100">
        <v>25.043999999999997</v>
      </c>
      <c r="L17" s="100">
        <v>30.583000000000002</v>
      </c>
      <c r="M17" s="100">
        <v>72.151881000000003</v>
      </c>
      <c r="N17" s="100">
        <v>79.842000000000013</v>
      </c>
      <c r="O17" s="100">
        <v>84.495000000000005</v>
      </c>
      <c r="P17" s="100">
        <v>101.045</v>
      </c>
      <c r="Q17" s="100">
        <v>139.62400000000002</v>
      </c>
      <c r="R17" s="100">
        <v>147.82900000000001</v>
      </c>
      <c r="S17" s="100">
        <v>128.11099999999999</v>
      </c>
      <c r="T17" s="100">
        <v>131.143</v>
      </c>
      <c r="U17" s="100">
        <v>113.02500000000001</v>
      </c>
      <c r="V17" s="100">
        <v>133.81799999999998</v>
      </c>
      <c r="W17" s="100">
        <v>142.46805275</v>
      </c>
      <c r="X17" s="100">
        <v>121.30209911999998</v>
      </c>
      <c r="Y17" s="100">
        <v>106.98709402999999</v>
      </c>
      <c r="Z17" s="100">
        <v>134.08504129490629</v>
      </c>
      <c r="AA17" s="100">
        <v>117.55969238378024</v>
      </c>
      <c r="AB17" s="100">
        <v>121.79627392260207</v>
      </c>
      <c r="AC17" s="100">
        <v>137.07322009413545</v>
      </c>
      <c r="AD17" s="100">
        <v>171.53193780784636</v>
      </c>
    </row>
    <row r="18" spans="1:30" x14ac:dyDescent="0.3">
      <c r="A18" s="20" t="s">
        <v>10</v>
      </c>
      <c r="B18" s="100"/>
      <c r="C18" s="101"/>
      <c r="D18" s="101"/>
      <c r="E18" s="101"/>
      <c r="F18" s="100">
        <v>9.0729999999999986</v>
      </c>
      <c r="G18" s="100">
        <v>8.6429999999999989</v>
      </c>
      <c r="H18" s="100">
        <v>8.2577999999999996</v>
      </c>
      <c r="I18" s="100">
        <v>9.617287000000001</v>
      </c>
      <c r="J18" s="100">
        <v>6.5610739999999996</v>
      </c>
      <c r="K18" s="100">
        <v>4.2619999999999996</v>
      </c>
      <c r="L18" s="100">
        <v>13.606999999999999</v>
      </c>
      <c r="M18" s="100">
        <v>25.943999999999999</v>
      </c>
      <c r="N18" s="100">
        <v>9.9589999999999996</v>
      </c>
      <c r="O18" s="100">
        <v>4.99</v>
      </c>
      <c r="P18" s="100">
        <v>5.3560000000000008</v>
      </c>
      <c r="Q18" s="100">
        <v>7.2502787380070624</v>
      </c>
      <c r="R18" s="100">
        <v>8.1240000000000006</v>
      </c>
      <c r="S18" s="100">
        <v>16.642763526676205</v>
      </c>
      <c r="T18" s="100">
        <v>13.007000000000001</v>
      </c>
      <c r="U18" s="100">
        <v>6.17</v>
      </c>
      <c r="V18" s="100">
        <v>17.145</v>
      </c>
      <c r="W18" s="100">
        <v>33.054770099999999</v>
      </c>
      <c r="X18" s="100">
        <v>41.407687300000006</v>
      </c>
      <c r="Y18" s="100">
        <v>63.748455429999993</v>
      </c>
      <c r="Z18" s="100">
        <v>73.343356046814918</v>
      </c>
      <c r="AA18" s="100">
        <v>62.707198692555139</v>
      </c>
      <c r="AB18" s="100">
        <v>51.655297448041502</v>
      </c>
      <c r="AC18" s="100">
        <v>53.215068077816944</v>
      </c>
      <c r="AD18" s="100">
        <v>46.258404416678609</v>
      </c>
    </row>
    <row r="19" spans="1:30" x14ac:dyDescent="0.3">
      <c r="A19" s="20" t="s">
        <v>11</v>
      </c>
      <c r="B19" s="100"/>
      <c r="C19" s="101"/>
      <c r="D19" s="101"/>
      <c r="E19" s="101"/>
      <c r="F19" s="100">
        <v>1.1379999999999999</v>
      </c>
      <c r="G19" s="100">
        <v>6.4429999999999996</v>
      </c>
      <c r="H19" s="100">
        <v>9.3390000000000004</v>
      </c>
      <c r="I19" s="100">
        <v>0.628</v>
      </c>
      <c r="J19" s="100">
        <v>0.01</v>
      </c>
      <c r="K19" s="100">
        <v>1.413</v>
      </c>
      <c r="L19" s="100">
        <v>0.78900000000000003</v>
      </c>
      <c r="M19" s="100">
        <v>0.79500000000000004</v>
      </c>
      <c r="N19" s="100">
        <v>0.50900000000000001</v>
      </c>
      <c r="O19" s="100">
        <v>2.1829999999999998</v>
      </c>
      <c r="P19" s="100">
        <v>2.7829999999999999</v>
      </c>
      <c r="Q19" s="100">
        <v>4.7433769999999988</v>
      </c>
      <c r="R19" s="100">
        <v>4.5570000000000004</v>
      </c>
      <c r="S19" s="100">
        <v>5.4610000000000003</v>
      </c>
      <c r="T19" s="100">
        <v>14.154</v>
      </c>
      <c r="U19" s="100">
        <v>11.496</v>
      </c>
      <c r="V19" s="100">
        <v>12.869</v>
      </c>
      <c r="W19" s="100">
        <v>17.28035345</v>
      </c>
      <c r="X19" s="100">
        <v>11.560855500000002</v>
      </c>
      <c r="Y19" s="100">
        <v>28.610121419999988</v>
      </c>
      <c r="Z19" s="100">
        <v>55.111129430553419</v>
      </c>
      <c r="AA19" s="100">
        <v>52.204391842039165</v>
      </c>
      <c r="AB19" s="100">
        <v>14.524225258284034</v>
      </c>
      <c r="AC19" s="100">
        <v>17.274736242407336</v>
      </c>
      <c r="AD19" s="100">
        <v>26.620424542993661</v>
      </c>
    </row>
    <row r="20" spans="1:30" x14ac:dyDescent="0.3">
      <c r="A20" s="20" t="s">
        <v>12</v>
      </c>
      <c r="B20" s="100"/>
      <c r="C20" s="101"/>
      <c r="D20" s="101"/>
      <c r="E20" s="101"/>
      <c r="F20" s="100">
        <v>20.367999999999999</v>
      </c>
      <c r="G20" s="100">
        <v>8.4359999999999999</v>
      </c>
      <c r="H20" s="100">
        <v>13.219000000000001</v>
      </c>
      <c r="I20" s="100">
        <v>11.573010999999999</v>
      </c>
      <c r="J20" s="100">
        <v>9.250375</v>
      </c>
      <c r="K20" s="100">
        <v>4.6610000000000005</v>
      </c>
      <c r="L20" s="100">
        <v>2.2860000000000005</v>
      </c>
      <c r="M20" s="100">
        <v>10.885999999999999</v>
      </c>
      <c r="N20" s="100">
        <v>11.568</v>
      </c>
      <c r="O20" s="100">
        <v>12.979000000000001</v>
      </c>
      <c r="P20" s="100">
        <v>15.98</v>
      </c>
      <c r="Q20" s="100">
        <v>19.475000000000001</v>
      </c>
      <c r="R20" s="100">
        <v>24.216999999999999</v>
      </c>
      <c r="S20" s="100">
        <v>24.013000000000002</v>
      </c>
      <c r="T20" s="100">
        <v>18.122</v>
      </c>
      <c r="U20" s="100">
        <v>26.536000000000001</v>
      </c>
      <c r="V20" s="100">
        <v>35.417999999999999</v>
      </c>
      <c r="W20" s="100">
        <v>27.340248220000021</v>
      </c>
      <c r="X20" s="100">
        <v>59.163461080000076</v>
      </c>
      <c r="Y20" s="100">
        <v>42.090136950000016</v>
      </c>
      <c r="Z20" s="100">
        <v>47.256028218324751</v>
      </c>
      <c r="AA20" s="100">
        <v>90.968420202835247</v>
      </c>
      <c r="AB20" s="100">
        <v>70.172051802075231</v>
      </c>
      <c r="AC20" s="100">
        <v>95.913017831647977</v>
      </c>
      <c r="AD20" s="100">
        <v>106.80765471225378</v>
      </c>
    </row>
    <row r="21" spans="1:30" x14ac:dyDescent="0.3">
      <c r="A21" s="20" t="s">
        <v>13</v>
      </c>
      <c r="B21" s="100"/>
      <c r="C21" s="101"/>
      <c r="D21" s="101"/>
      <c r="E21" s="101"/>
      <c r="F21" s="100">
        <v>12.641</v>
      </c>
      <c r="G21" s="100">
        <v>6.1390000000000002</v>
      </c>
      <c r="H21" s="100">
        <v>5.4219999999999988</v>
      </c>
      <c r="I21" s="100">
        <v>6.3638919999999999</v>
      </c>
      <c r="J21" s="100">
        <v>2.2999999999999998</v>
      </c>
      <c r="K21" s="100">
        <v>5.9030000000000005</v>
      </c>
      <c r="L21" s="100">
        <v>3.0009999999999999</v>
      </c>
      <c r="M21" s="100">
        <v>1.607</v>
      </c>
      <c r="N21" s="100">
        <v>2.5099999999999998</v>
      </c>
      <c r="O21" s="100">
        <v>5.6630000000000003</v>
      </c>
      <c r="P21" s="100">
        <v>4.6160000000000005</v>
      </c>
      <c r="Q21" s="100">
        <v>6.9420000000000011</v>
      </c>
      <c r="R21" s="100">
        <v>7.8179999999999996</v>
      </c>
      <c r="S21" s="100">
        <v>3.6480000000000001</v>
      </c>
      <c r="T21" s="100">
        <v>12.780000000000001</v>
      </c>
      <c r="U21" s="100">
        <v>10.866999999999999</v>
      </c>
      <c r="V21" s="100">
        <v>7.9609999999999994</v>
      </c>
      <c r="W21" s="100">
        <v>18.856029400000004</v>
      </c>
      <c r="X21" s="100">
        <v>12.682913550000004</v>
      </c>
      <c r="Y21" s="100">
        <v>16.024581059999996</v>
      </c>
      <c r="Z21" s="100">
        <v>25.117048655948857</v>
      </c>
      <c r="AA21" s="100">
        <v>53.877087750981524</v>
      </c>
      <c r="AB21" s="100">
        <v>38.264814823108139</v>
      </c>
      <c r="AC21" s="100">
        <v>84.210970488474004</v>
      </c>
      <c r="AD21" s="100">
        <v>99.06153180936721</v>
      </c>
    </row>
    <row r="22" spans="1:30" x14ac:dyDescent="0.3">
      <c r="A22" s="20" t="s">
        <v>14</v>
      </c>
      <c r="B22" s="100"/>
      <c r="C22" s="101"/>
      <c r="D22" s="101"/>
      <c r="E22" s="101"/>
      <c r="F22" s="100">
        <v>0</v>
      </c>
      <c r="G22" s="100">
        <v>4.0419999999999998</v>
      </c>
      <c r="H22" s="100">
        <v>5.2070000000000007</v>
      </c>
      <c r="I22" s="100">
        <v>6.2530847000000005</v>
      </c>
      <c r="J22" s="100">
        <v>7.4109999999999996</v>
      </c>
      <c r="K22" s="100">
        <v>6.7189999999999994</v>
      </c>
      <c r="L22" s="100">
        <v>11.530999999999999</v>
      </c>
      <c r="M22" s="100">
        <v>14.312000000000001</v>
      </c>
      <c r="N22" s="100">
        <v>15.568000000000001</v>
      </c>
      <c r="O22" s="100">
        <v>21.658999999999999</v>
      </c>
      <c r="P22" s="100">
        <v>29.798999999999999</v>
      </c>
      <c r="Q22" s="100">
        <v>33.796000000000006</v>
      </c>
      <c r="R22" s="100">
        <v>31.908000000000001</v>
      </c>
      <c r="S22" s="100">
        <v>35.326999999999998</v>
      </c>
      <c r="T22" s="100">
        <v>46.481000000000002</v>
      </c>
      <c r="U22" s="100">
        <v>46.898000000000003</v>
      </c>
      <c r="V22" s="100">
        <v>46.552999999999997</v>
      </c>
      <c r="W22" s="100">
        <v>52.475415389999995</v>
      </c>
      <c r="X22" s="100">
        <v>52.674664199999995</v>
      </c>
      <c r="Y22" s="100">
        <v>56.802385169999987</v>
      </c>
      <c r="Z22" s="100">
        <v>57.492887608320515</v>
      </c>
      <c r="AA22" s="100">
        <v>51.441469884007113</v>
      </c>
      <c r="AB22" s="100">
        <v>51.64920556822041</v>
      </c>
      <c r="AC22" s="100">
        <v>57.719829989633993</v>
      </c>
      <c r="AD22" s="100">
        <v>60.89337896745306</v>
      </c>
    </row>
    <row r="23" spans="1:30" x14ac:dyDescent="0.3">
      <c r="A23" s="20" t="s">
        <v>15</v>
      </c>
      <c r="B23" s="100"/>
      <c r="C23" s="101"/>
      <c r="D23" s="101"/>
      <c r="E23" s="101"/>
      <c r="F23" s="100">
        <v>3</v>
      </c>
      <c r="G23" s="100">
        <v>3.2200478413221227</v>
      </c>
      <c r="H23" s="100">
        <v>6.0641071611093675</v>
      </c>
      <c r="I23" s="100">
        <v>9.5539729604407082</v>
      </c>
      <c r="J23" s="100">
        <v>11.229000000000001</v>
      </c>
      <c r="K23" s="100">
        <v>9.6310000000000002</v>
      </c>
      <c r="L23" s="100">
        <v>9.3627000000000002</v>
      </c>
      <c r="M23" s="100">
        <v>10.967000000000001</v>
      </c>
      <c r="N23" s="100">
        <v>5.4979999999999993</v>
      </c>
      <c r="O23" s="100">
        <v>30.43</v>
      </c>
      <c r="P23" s="100">
        <v>28.082000000000001</v>
      </c>
      <c r="Q23" s="100">
        <v>31.472999999999999</v>
      </c>
      <c r="R23" s="100">
        <v>36.246000000000002</v>
      </c>
      <c r="S23" s="100">
        <v>40.376000000000005</v>
      </c>
      <c r="T23" s="100">
        <v>54.171173376789369</v>
      </c>
      <c r="U23" s="100">
        <v>102.767</v>
      </c>
      <c r="V23" s="100">
        <v>106.96729023818276</v>
      </c>
      <c r="W23" s="100">
        <v>106.85945932999999</v>
      </c>
      <c r="X23" s="100">
        <v>132.95606326999999</v>
      </c>
      <c r="Y23" s="100">
        <v>136.77264166999998</v>
      </c>
      <c r="Z23" s="100">
        <v>149.11296623867588</v>
      </c>
      <c r="AA23" s="100">
        <v>131.24571176464841</v>
      </c>
      <c r="AB23" s="100">
        <v>119.85503658065835</v>
      </c>
      <c r="AC23" s="100">
        <v>129.36608522766628</v>
      </c>
      <c r="AD23" s="100">
        <v>132.47594302826622</v>
      </c>
    </row>
    <row r="24" spans="1:30" x14ac:dyDescent="0.3">
      <c r="A24" s="102" t="s">
        <v>16</v>
      </c>
      <c r="B24" s="100"/>
      <c r="C24" s="101"/>
      <c r="D24" s="101"/>
      <c r="E24" s="101"/>
      <c r="F24" s="100">
        <v>0</v>
      </c>
      <c r="G24" s="100">
        <v>0</v>
      </c>
      <c r="H24" s="100">
        <v>0</v>
      </c>
      <c r="I24" s="100">
        <v>0</v>
      </c>
      <c r="J24" s="100">
        <v>0</v>
      </c>
      <c r="K24" s="100">
        <v>2.3151849999999996</v>
      </c>
      <c r="L24" s="100">
        <v>10.981221</v>
      </c>
      <c r="M24" s="100">
        <v>12.654</v>
      </c>
      <c r="N24" s="100">
        <v>7.03</v>
      </c>
      <c r="O24" s="100">
        <v>0</v>
      </c>
      <c r="P24" s="100">
        <v>9.9909999999999997</v>
      </c>
      <c r="Q24" s="100">
        <v>15.574999999999999</v>
      </c>
      <c r="R24" s="100">
        <v>18.064</v>
      </c>
      <c r="S24" s="100">
        <v>17.328000000000003</v>
      </c>
      <c r="T24" s="100">
        <v>20.231000000000002</v>
      </c>
      <c r="U24" s="100">
        <v>15.428000000000001</v>
      </c>
      <c r="V24" s="100">
        <v>16.746000000000002</v>
      </c>
      <c r="W24" s="100">
        <v>17.644176169999998</v>
      </c>
      <c r="X24" s="100">
        <v>14.23811287</v>
      </c>
      <c r="Y24" s="100">
        <v>10.105024709999999</v>
      </c>
      <c r="Z24" s="100">
        <v>0</v>
      </c>
      <c r="AA24" s="100">
        <v>0</v>
      </c>
      <c r="AB24" s="100">
        <v>0</v>
      </c>
      <c r="AC24" s="100">
        <v>0</v>
      </c>
      <c r="AD24" s="100">
        <v>0</v>
      </c>
    </row>
    <row r="25" spans="1:30" x14ac:dyDescent="0.3">
      <c r="A25" s="20" t="s">
        <v>17</v>
      </c>
      <c r="B25" s="100"/>
      <c r="C25" s="101"/>
      <c r="D25" s="101"/>
      <c r="E25" s="101"/>
      <c r="F25" s="100">
        <v>21.417500000000004</v>
      </c>
      <c r="G25" s="100">
        <v>24.162649999999999</v>
      </c>
      <c r="H25" s="100">
        <v>47.567999999999998</v>
      </c>
      <c r="I25" s="100">
        <v>43.289467000000002</v>
      </c>
      <c r="J25" s="100">
        <v>55.384</v>
      </c>
      <c r="K25" s="100">
        <v>42.832000000000001</v>
      </c>
      <c r="L25" s="100">
        <v>61.010699999999993</v>
      </c>
      <c r="M25" s="100">
        <v>58.766999999999996</v>
      </c>
      <c r="N25" s="100">
        <v>66.261139</v>
      </c>
      <c r="O25" s="100">
        <v>112.83893400000001</v>
      </c>
      <c r="P25" s="100">
        <v>137.34800000000001</v>
      </c>
      <c r="Q25" s="100">
        <v>193.11753500000003</v>
      </c>
      <c r="R25" s="100">
        <v>277.072</v>
      </c>
      <c r="S25" s="100">
        <v>585.98399999999992</v>
      </c>
      <c r="T25" s="100">
        <v>745.80199999999991</v>
      </c>
      <c r="U25" s="100">
        <v>733.47299999999996</v>
      </c>
      <c r="V25" s="100">
        <v>772.12900000000002</v>
      </c>
      <c r="W25" s="100">
        <v>1044.581489260001</v>
      </c>
      <c r="X25" s="100">
        <v>1303.3407900281354</v>
      </c>
      <c r="Y25" s="100">
        <v>1268.3900441600003</v>
      </c>
      <c r="Z25" s="100">
        <v>1155.021176947384</v>
      </c>
      <c r="AA25" s="100">
        <v>1089.0016544547427</v>
      </c>
      <c r="AB25" s="100">
        <v>1136.8423650954126</v>
      </c>
      <c r="AC25" s="100">
        <v>1119.9990123496605</v>
      </c>
      <c r="AD25" s="100">
        <v>1244.9078075655325</v>
      </c>
    </row>
    <row r="26" spans="1:30" x14ac:dyDescent="0.3">
      <c r="A26" s="20"/>
      <c r="B26" s="98"/>
      <c r="C26" s="99"/>
      <c r="D26" s="99"/>
      <c r="E26" s="99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</row>
    <row r="27" spans="1:30" x14ac:dyDescent="0.3">
      <c r="A27" s="97" t="s">
        <v>18</v>
      </c>
      <c r="B27" s="98"/>
      <c r="C27" s="99"/>
      <c r="D27" s="99"/>
      <c r="E27" s="99"/>
      <c r="F27" s="98">
        <v>0</v>
      </c>
      <c r="G27" s="98">
        <v>0</v>
      </c>
      <c r="H27" s="98">
        <v>0</v>
      </c>
      <c r="I27" s="98">
        <v>0</v>
      </c>
      <c r="J27" s="98">
        <v>0</v>
      </c>
      <c r="K27" s="98">
        <v>6</v>
      </c>
      <c r="L27" s="98">
        <v>0</v>
      </c>
      <c r="M27" s="98">
        <v>0</v>
      </c>
      <c r="N27" s="98">
        <v>0</v>
      </c>
      <c r="O27" s="98">
        <v>19.493929308632239</v>
      </c>
      <c r="P27" s="98">
        <v>69.865636932026689</v>
      </c>
      <c r="Q27" s="98">
        <v>200.30679719</v>
      </c>
      <c r="R27" s="98">
        <v>231.74103406999998</v>
      </c>
      <c r="S27" s="98">
        <v>430.86746986941625</v>
      </c>
      <c r="T27" s="98">
        <v>554.08472495965918</v>
      </c>
      <c r="U27" s="98">
        <v>803.54404233952062</v>
      </c>
      <c r="V27" s="98">
        <v>528.33678028999907</v>
      </c>
      <c r="W27" s="98">
        <v>355.83668464031018</v>
      </c>
      <c r="X27" s="98">
        <v>453.72576966550065</v>
      </c>
      <c r="Y27" s="98">
        <v>421.26163011045657</v>
      </c>
      <c r="Z27" s="98">
        <v>414.59065134432996</v>
      </c>
      <c r="AA27" s="98">
        <v>399.12556896123988</v>
      </c>
      <c r="AB27" s="98">
        <v>419.23594950265635</v>
      </c>
      <c r="AC27" s="98">
        <v>549.04022163973013</v>
      </c>
      <c r="AD27" s="98">
        <v>550.41676656905793</v>
      </c>
    </row>
    <row r="28" spans="1:30" x14ac:dyDescent="0.3">
      <c r="A28" s="20"/>
      <c r="B28" s="98"/>
      <c r="C28" s="99"/>
      <c r="D28" s="99"/>
      <c r="E28" s="99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</row>
    <row r="29" spans="1:30" x14ac:dyDescent="0.3">
      <c r="A29" s="97" t="s">
        <v>19</v>
      </c>
      <c r="B29" s="98"/>
      <c r="C29" s="99"/>
      <c r="D29" s="99"/>
      <c r="E29" s="99"/>
      <c r="F29" s="98">
        <v>0</v>
      </c>
      <c r="G29" s="98">
        <v>0</v>
      </c>
      <c r="H29" s="98">
        <v>0</v>
      </c>
      <c r="I29" s="98">
        <v>0</v>
      </c>
      <c r="J29" s="98">
        <v>0</v>
      </c>
      <c r="K29" s="98">
        <v>0</v>
      </c>
      <c r="L29" s="98">
        <v>0</v>
      </c>
      <c r="M29" s="98">
        <v>0</v>
      </c>
      <c r="N29" s="98">
        <v>57.688139</v>
      </c>
      <c r="O29" s="98">
        <v>93.491933999999986</v>
      </c>
      <c r="P29" s="98">
        <v>123.11799999999999</v>
      </c>
      <c r="Q29" s="98">
        <v>193.11753500000003</v>
      </c>
      <c r="R29" s="98">
        <v>277.072</v>
      </c>
      <c r="S29" s="98">
        <v>585.98399999999992</v>
      </c>
      <c r="T29" s="98">
        <v>745.80199999999991</v>
      </c>
      <c r="U29" s="98">
        <v>733.47299999999996</v>
      </c>
      <c r="V29" s="98">
        <v>772.12900000000002</v>
      </c>
      <c r="W29" s="98">
        <v>1044.581489260001</v>
      </c>
      <c r="X29" s="98">
        <v>1303.3407900281354</v>
      </c>
      <c r="Y29" s="98">
        <v>1268.3900441600003</v>
      </c>
      <c r="Z29" s="98">
        <v>1155.021176947384</v>
      </c>
      <c r="AA29" s="98">
        <v>1089.0016544547427</v>
      </c>
      <c r="AB29" s="98">
        <v>1136.8423650954126</v>
      </c>
      <c r="AC29" s="98">
        <v>1119.9990123496605</v>
      </c>
      <c r="AD29" s="98">
        <v>1244.9078075655325</v>
      </c>
    </row>
    <row r="30" spans="1:30" x14ac:dyDescent="0.3">
      <c r="A30" s="21" t="s">
        <v>20</v>
      </c>
      <c r="B30" s="100"/>
      <c r="C30" s="101"/>
      <c r="D30" s="101"/>
      <c r="E30" s="101"/>
      <c r="F30" s="100">
        <v>0</v>
      </c>
      <c r="G30" s="100">
        <v>0</v>
      </c>
      <c r="H30" s="100">
        <v>0</v>
      </c>
      <c r="I30" s="100">
        <v>0</v>
      </c>
      <c r="J30" s="100">
        <v>0</v>
      </c>
      <c r="K30" s="100">
        <v>0</v>
      </c>
      <c r="L30" s="100">
        <v>0</v>
      </c>
      <c r="M30" s="100">
        <v>0</v>
      </c>
      <c r="N30" s="100">
        <v>0</v>
      </c>
      <c r="O30" s="100">
        <v>0</v>
      </c>
      <c r="P30" s="100">
        <v>0</v>
      </c>
      <c r="Q30" s="100">
        <v>0</v>
      </c>
      <c r="R30" s="100">
        <v>0</v>
      </c>
      <c r="S30" s="100">
        <v>0</v>
      </c>
      <c r="T30" s="100">
        <v>10.439</v>
      </c>
      <c r="U30" s="100">
        <v>5.6080000000000005</v>
      </c>
      <c r="V30" s="100">
        <v>7.5129999999999999</v>
      </c>
      <c r="W30" s="100">
        <v>13.088178910000002</v>
      </c>
      <c r="X30" s="100">
        <v>12.54732632</v>
      </c>
      <c r="Y30" s="100">
        <v>11.09808926</v>
      </c>
      <c r="Z30" s="100">
        <v>12.357341522553233</v>
      </c>
      <c r="AA30" s="100">
        <v>12.709888436378103</v>
      </c>
      <c r="AB30" s="100">
        <v>8.1290664471347434</v>
      </c>
      <c r="AC30" s="100">
        <v>9.7691283259078396</v>
      </c>
      <c r="AD30" s="100">
        <v>9.407543238230863</v>
      </c>
    </row>
    <row r="31" spans="1:30" x14ac:dyDescent="0.3">
      <c r="A31" s="20" t="s">
        <v>21</v>
      </c>
      <c r="B31" s="100"/>
      <c r="C31" s="101"/>
      <c r="D31" s="101"/>
      <c r="E31" s="101"/>
      <c r="F31" s="100">
        <v>0</v>
      </c>
      <c r="G31" s="100">
        <v>0</v>
      </c>
      <c r="H31" s="100">
        <v>0</v>
      </c>
      <c r="I31" s="100">
        <v>0</v>
      </c>
      <c r="J31" s="100">
        <v>0</v>
      </c>
      <c r="K31" s="100">
        <v>0</v>
      </c>
      <c r="L31" s="100">
        <v>0</v>
      </c>
      <c r="M31" s="100">
        <v>0</v>
      </c>
      <c r="N31" s="100">
        <v>4.9379999999999997</v>
      </c>
      <c r="O31" s="100">
        <v>11.858000000000001</v>
      </c>
      <c r="P31" s="100">
        <v>21.864000000000004</v>
      </c>
      <c r="Q31" s="100">
        <v>33.850875000000002</v>
      </c>
      <c r="R31" s="100">
        <v>34.417000000000002</v>
      </c>
      <c r="S31" s="100">
        <v>74.328000000000003</v>
      </c>
      <c r="T31" s="100">
        <v>117.908</v>
      </c>
      <c r="U31" s="100">
        <v>96.379000000000005</v>
      </c>
      <c r="V31" s="100">
        <v>90.825000000000017</v>
      </c>
      <c r="W31" s="100">
        <v>121.97649124999998</v>
      </c>
      <c r="X31" s="100">
        <v>133.65532277</v>
      </c>
      <c r="Y31" s="100">
        <v>137.62379988000001</v>
      </c>
      <c r="Z31" s="100">
        <v>132.03103698476127</v>
      </c>
      <c r="AA31" s="100">
        <v>119.99530743321591</v>
      </c>
      <c r="AB31" s="100">
        <v>99.825586403286337</v>
      </c>
      <c r="AC31" s="100">
        <v>98.773883784955643</v>
      </c>
      <c r="AD31" s="100">
        <v>128.24510452108069</v>
      </c>
    </row>
    <row r="32" spans="1:30" x14ac:dyDescent="0.3">
      <c r="A32" s="21" t="s">
        <v>22</v>
      </c>
      <c r="B32" s="100"/>
      <c r="C32" s="101"/>
      <c r="D32" s="101"/>
      <c r="E32" s="101"/>
      <c r="F32" s="100">
        <v>0</v>
      </c>
      <c r="G32" s="100">
        <v>0</v>
      </c>
      <c r="H32" s="100">
        <v>0</v>
      </c>
      <c r="I32" s="100">
        <v>0</v>
      </c>
      <c r="J32" s="100">
        <v>0</v>
      </c>
      <c r="K32" s="100">
        <v>0</v>
      </c>
      <c r="L32" s="100">
        <v>0</v>
      </c>
      <c r="M32" s="100">
        <v>0</v>
      </c>
      <c r="N32" s="100">
        <v>0</v>
      </c>
      <c r="O32" s="100">
        <v>0</v>
      </c>
      <c r="P32" s="100">
        <v>0</v>
      </c>
      <c r="Q32" s="100">
        <v>0</v>
      </c>
      <c r="R32" s="100">
        <v>0</v>
      </c>
      <c r="S32" s="100">
        <v>8.3719999999999999</v>
      </c>
      <c r="T32" s="100">
        <v>39.948</v>
      </c>
      <c r="U32" s="100">
        <v>30.091000000000001</v>
      </c>
      <c r="V32" s="100">
        <v>20.954999999999998</v>
      </c>
      <c r="W32" s="100">
        <v>23.024536809999994</v>
      </c>
      <c r="X32" s="100">
        <v>25.362113980000004</v>
      </c>
      <c r="Y32" s="100">
        <v>23.675399329999998</v>
      </c>
      <c r="Z32" s="100">
        <v>13.306678125848489</v>
      </c>
      <c r="AA32" s="100">
        <v>10.049209512625513</v>
      </c>
      <c r="AB32" s="100">
        <v>10.977102451236096</v>
      </c>
      <c r="AC32" s="100">
        <v>11.063133338146571</v>
      </c>
      <c r="AD32" s="100">
        <v>13.370301004190315</v>
      </c>
    </row>
    <row r="33" spans="1:30" x14ac:dyDescent="0.3">
      <c r="A33" s="21" t="s">
        <v>23</v>
      </c>
      <c r="B33" s="100"/>
      <c r="C33" s="101"/>
      <c r="D33" s="101"/>
      <c r="E33" s="101"/>
      <c r="F33" s="100">
        <v>0</v>
      </c>
      <c r="G33" s="100">
        <v>0</v>
      </c>
      <c r="H33" s="100">
        <v>0</v>
      </c>
      <c r="I33" s="100">
        <v>0</v>
      </c>
      <c r="J33" s="100">
        <v>0</v>
      </c>
      <c r="K33" s="100">
        <v>0</v>
      </c>
      <c r="L33" s="100">
        <v>0</v>
      </c>
      <c r="M33" s="100">
        <v>0</v>
      </c>
      <c r="N33" s="100">
        <v>0</v>
      </c>
      <c r="O33" s="100">
        <v>0</v>
      </c>
      <c r="P33" s="100">
        <v>0</v>
      </c>
      <c r="Q33" s="100">
        <v>0</v>
      </c>
      <c r="R33" s="100">
        <v>0</v>
      </c>
      <c r="S33" s="100">
        <v>21.722000000000001</v>
      </c>
      <c r="T33" s="100">
        <v>70.173000000000002</v>
      </c>
      <c r="U33" s="100">
        <v>61.392000000000003</v>
      </c>
      <c r="V33" s="100">
        <v>80.978000000000009</v>
      </c>
      <c r="W33" s="100">
        <v>128.48824495</v>
      </c>
      <c r="X33" s="100">
        <v>147.84090125999998</v>
      </c>
      <c r="Y33" s="100">
        <v>49.332383379999996</v>
      </c>
      <c r="Z33" s="100">
        <v>8.2829851370011269</v>
      </c>
      <c r="AA33" s="100">
        <v>21.083213146316403</v>
      </c>
      <c r="AB33" s="100">
        <v>4.6340987008879999</v>
      </c>
      <c r="AC33" s="100">
        <v>2.9144232148565878</v>
      </c>
      <c r="AD33" s="100">
        <v>3.5573488111866403</v>
      </c>
    </row>
    <row r="34" spans="1:30" x14ac:dyDescent="0.3">
      <c r="A34" s="21" t="s">
        <v>24</v>
      </c>
      <c r="B34" s="100"/>
      <c r="C34" s="101"/>
      <c r="D34" s="101"/>
      <c r="E34" s="101"/>
      <c r="F34" s="100">
        <v>0</v>
      </c>
      <c r="G34" s="100">
        <v>0</v>
      </c>
      <c r="H34" s="100">
        <v>0</v>
      </c>
      <c r="I34" s="100">
        <v>0</v>
      </c>
      <c r="J34" s="100">
        <v>0</v>
      </c>
      <c r="K34" s="100">
        <v>0</v>
      </c>
      <c r="L34" s="100">
        <v>0</v>
      </c>
      <c r="M34" s="100">
        <v>0</v>
      </c>
      <c r="N34" s="100">
        <v>0</v>
      </c>
      <c r="O34" s="100">
        <v>0</v>
      </c>
      <c r="P34" s="100">
        <v>0</v>
      </c>
      <c r="Q34" s="100">
        <v>0</v>
      </c>
      <c r="R34" s="100">
        <v>0</v>
      </c>
      <c r="S34" s="100">
        <v>9.0090000000000003</v>
      </c>
      <c r="T34" s="100">
        <v>77.569999999999993</v>
      </c>
      <c r="U34" s="100">
        <v>82.683999999999997</v>
      </c>
      <c r="V34" s="100">
        <v>71.376999999999995</v>
      </c>
      <c r="W34" s="100">
        <v>94.15274633000017</v>
      </c>
      <c r="X34" s="100">
        <v>107.00749936000012</v>
      </c>
      <c r="Y34" s="100">
        <v>102.94142931999993</v>
      </c>
      <c r="Z34" s="100">
        <v>89.398498835812404</v>
      </c>
      <c r="AA34" s="100">
        <v>80.130611613265188</v>
      </c>
      <c r="AB34" s="100">
        <v>60.844206133543892</v>
      </c>
      <c r="AC34" s="100">
        <v>41.619597297429756</v>
      </c>
      <c r="AD34" s="100">
        <v>56.351007152389379</v>
      </c>
    </row>
    <row r="35" spans="1:30" x14ac:dyDescent="0.3">
      <c r="A35" s="20" t="s">
        <v>25</v>
      </c>
      <c r="B35" s="100"/>
      <c r="C35" s="101"/>
      <c r="D35" s="101"/>
      <c r="E35" s="101"/>
      <c r="F35" s="100">
        <v>0</v>
      </c>
      <c r="G35" s="100">
        <v>0</v>
      </c>
      <c r="H35" s="100">
        <v>0</v>
      </c>
      <c r="I35" s="100">
        <v>0</v>
      </c>
      <c r="J35" s="100">
        <v>0</v>
      </c>
      <c r="K35" s="100">
        <v>0</v>
      </c>
      <c r="L35" s="100">
        <v>0</v>
      </c>
      <c r="M35" s="100">
        <v>0</v>
      </c>
      <c r="N35" s="100">
        <v>3.6349999999999998</v>
      </c>
      <c r="O35" s="100">
        <v>7.4890000000000008</v>
      </c>
      <c r="P35" s="100">
        <v>8.5760000000000005</v>
      </c>
      <c r="Q35" s="100">
        <v>9.7528679999999994</v>
      </c>
      <c r="R35" s="100">
        <v>10.029</v>
      </c>
      <c r="S35" s="100">
        <v>15.883000000000003</v>
      </c>
      <c r="T35" s="100">
        <v>21.923000000000002</v>
      </c>
      <c r="U35" s="100">
        <v>27.274999999999999</v>
      </c>
      <c r="V35" s="100">
        <v>33.369999999999997</v>
      </c>
      <c r="W35" s="100">
        <v>44.136693369999996</v>
      </c>
      <c r="X35" s="100">
        <v>38.576448049999982</v>
      </c>
      <c r="Y35" s="100">
        <v>54.832821590000009</v>
      </c>
      <c r="Z35" s="100">
        <v>59.429147722743451</v>
      </c>
      <c r="AA35" s="100">
        <v>55.668499127776712</v>
      </c>
      <c r="AB35" s="100">
        <v>74.995766834429531</v>
      </c>
      <c r="AC35" s="100">
        <v>54.215531677021602</v>
      </c>
      <c r="AD35" s="100">
        <v>64.662269306837956</v>
      </c>
    </row>
    <row r="36" spans="1:30" x14ac:dyDescent="0.3">
      <c r="A36" s="21" t="s">
        <v>26</v>
      </c>
      <c r="B36" s="100"/>
      <c r="C36" s="101"/>
      <c r="D36" s="101"/>
      <c r="E36" s="101"/>
      <c r="F36" s="100">
        <v>0</v>
      </c>
      <c r="G36" s="100">
        <v>0</v>
      </c>
      <c r="H36" s="100">
        <v>0</v>
      </c>
      <c r="I36" s="100">
        <v>0</v>
      </c>
      <c r="J36" s="100">
        <v>0</v>
      </c>
      <c r="K36" s="100">
        <v>0</v>
      </c>
      <c r="L36" s="100">
        <v>0</v>
      </c>
      <c r="M36" s="100">
        <v>0</v>
      </c>
      <c r="N36" s="100">
        <v>0</v>
      </c>
      <c r="O36" s="100">
        <v>0</v>
      </c>
      <c r="P36" s="100">
        <v>0</v>
      </c>
      <c r="Q36" s="100">
        <v>0</v>
      </c>
      <c r="R36" s="100">
        <v>0</v>
      </c>
      <c r="S36" s="100">
        <v>0.36799999999999999</v>
      </c>
      <c r="T36" s="100">
        <v>0.28199999999999997</v>
      </c>
      <c r="U36" s="100">
        <v>1.7359999999999998</v>
      </c>
      <c r="V36" s="100">
        <v>7.9380000000000006</v>
      </c>
      <c r="W36" s="100">
        <v>2.5867520500000003</v>
      </c>
      <c r="X36" s="100">
        <v>0.29060131</v>
      </c>
      <c r="Y36" s="100">
        <v>0.22149301999999998</v>
      </c>
      <c r="Z36" s="100">
        <v>0</v>
      </c>
      <c r="AA36" s="100">
        <v>0</v>
      </c>
      <c r="AB36" s="100">
        <v>1.9798E-4</v>
      </c>
      <c r="AC36" s="100">
        <v>0</v>
      </c>
      <c r="AD36" s="100">
        <v>0</v>
      </c>
    </row>
    <row r="37" spans="1:30" x14ac:dyDescent="0.3">
      <c r="A37" s="21" t="s">
        <v>27</v>
      </c>
      <c r="B37" s="100"/>
      <c r="C37" s="101"/>
      <c r="D37" s="101"/>
      <c r="E37" s="101"/>
      <c r="F37" s="100">
        <v>0</v>
      </c>
      <c r="G37" s="100">
        <v>0</v>
      </c>
      <c r="H37" s="100">
        <v>0</v>
      </c>
      <c r="I37" s="100">
        <v>0</v>
      </c>
      <c r="J37" s="100">
        <v>0</v>
      </c>
      <c r="K37" s="100">
        <v>0</v>
      </c>
      <c r="L37" s="100">
        <v>0</v>
      </c>
      <c r="M37" s="100">
        <v>0</v>
      </c>
      <c r="N37" s="100">
        <v>0</v>
      </c>
      <c r="O37" s="100">
        <v>0</v>
      </c>
      <c r="P37" s="100">
        <v>0</v>
      </c>
      <c r="Q37" s="100">
        <v>0</v>
      </c>
      <c r="R37" s="100">
        <v>0</v>
      </c>
      <c r="S37" s="100">
        <v>0</v>
      </c>
      <c r="T37" s="100">
        <v>10.978999999999999</v>
      </c>
      <c r="U37" s="100">
        <v>12.74</v>
      </c>
      <c r="V37" s="100">
        <v>18.395000000000003</v>
      </c>
      <c r="W37" s="100">
        <v>46.346379040000016</v>
      </c>
      <c r="X37" s="100">
        <v>61.363207809999992</v>
      </c>
      <c r="Y37" s="100">
        <v>51.021729140000005</v>
      </c>
      <c r="Z37" s="100">
        <v>43.875734238373369</v>
      </c>
      <c r="AA37" s="100">
        <v>40.246552067460122</v>
      </c>
      <c r="AB37" s="100">
        <v>44.096540660652991</v>
      </c>
      <c r="AC37" s="100">
        <v>51.085065795117387</v>
      </c>
      <c r="AD37" s="100">
        <v>63.920439875378875</v>
      </c>
    </row>
    <row r="38" spans="1:30" x14ac:dyDescent="0.3">
      <c r="A38" s="21" t="s">
        <v>28</v>
      </c>
      <c r="B38" s="100"/>
      <c r="C38" s="101"/>
      <c r="D38" s="101"/>
      <c r="E38" s="101"/>
      <c r="F38" s="100">
        <v>0</v>
      </c>
      <c r="G38" s="100">
        <v>0</v>
      </c>
      <c r="H38" s="100">
        <v>0</v>
      </c>
      <c r="I38" s="100">
        <v>0</v>
      </c>
      <c r="J38" s="100">
        <v>0</v>
      </c>
      <c r="K38" s="100">
        <v>0</v>
      </c>
      <c r="L38" s="100">
        <v>0</v>
      </c>
      <c r="M38" s="100">
        <v>0</v>
      </c>
      <c r="N38" s="100">
        <v>0</v>
      </c>
      <c r="O38" s="100">
        <v>0</v>
      </c>
      <c r="P38" s="100">
        <v>0</v>
      </c>
      <c r="Q38" s="100">
        <v>0</v>
      </c>
      <c r="R38" s="100">
        <v>0</v>
      </c>
      <c r="S38" s="100">
        <v>12.644000000000002</v>
      </c>
      <c r="T38" s="100">
        <v>29.983999999999998</v>
      </c>
      <c r="U38" s="100">
        <v>34.869999999999997</v>
      </c>
      <c r="V38" s="100">
        <v>36.524999999999999</v>
      </c>
      <c r="W38" s="100">
        <v>54.464639300000002</v>
      </c>
      <c r="X38" s="100">
        <v>48.901840499999977</v>
      </c>
      <c r="Y38" s="100">
        <v>48.607194549999981</v>
      </c>
      <c r="Z38" s="100">
        <v>58.538196169338505</v>
      </c>
      <c r="AA38" s="100">
        <v>38.681901544416732</v>
      </c>
      <c r="AB38" s="100">
        <v>18.035464866310626</v>
      </c>
      <c r="AC38" s="100">
        <v>18.9263800844518</v>
      </c>
      <c r="AD38" s="100">
        <v>15.261773869228424</v>
      </c>
    </row>
    <row r="39" spans="1:30" x14ac:dyDescent="0.3">
      <c r="A39" s="20" t="s">
        <v>29</v>
      </c>
      <c r="B39" s="100"/>
      <c r="C39" s="101"/>
      <c r="D39" s="101"/>
      <c r="E39" s="101"/>
      <c r="F39" s="100">
        <v>0</v>
      </c>
      <c r="G39" s="100">
        <v>0</v>
      </c>
      <c r="H39" s="100">
        <v>0</v>
      </c>
      <c r="I39" s="100">
        <v>0</v>
      </c>
      <c r="J39" s="100">
        <v>0</v>
      </c>
      <c r="K39" s="100">
        <v>0</v>
      </c>
      <c r="L39" s="100">
        <v>0</v>
      </c>
      <c r="M39" s="100">
        <v>0</v>
      </c>
      <c r="N39" s="100">
        <v>3.9980000000000002</v>
      </c>
      <c r="O39" s="100">
        <v>4.8959999999999999</v>
      </c>
      <c r="P39" s="100">
        <v>6.843</v>
      </c>
      <c r="Q39" s="100">
        <v>6.0950000000000006</v>
      </c>
      <c r="R39" s="100">
        <v>5.218</v>
      </c>
      <c r="S39" s="100">
        <v>12.478999999999999</v>
      </c>
      <c r="T39" s="100">
        <v>14.364000000000001</v>
      </c>
      <c r="U39" s="100">
        <v>10.661000000000001</v>
      </c>
      <c r="V39" s="100">
        <v>12.123000000000001</v>
      </c>
      <c r="W39" s="100">
        <v>11.715230660000007</v>
      </c>
      <c r="X39" s="100">
        <v>11.890589479999988</v>
      </c>
      <c r="Y39" s="100">
        <v>16.556252299999997</v>
      </c>
      <c r="Z39" s="100">
        <v>20.770078935420674</v>
      </c>
      <c r="AA39" s="100">
        <v>32.095796500822708</v>
      </c>
      <c r="AB39" s="100">
        <v>43.202032177281922</v>
      </c>
      <c r="AC39" s="100">
        <v>38.456423415692058</v>
      </c>
      <c r="AD39" s="100">
        <v>40.618573442211691</v>
      </c>
    </row>
    <row r="40" spans="1:30" x14ac:dyDescent="0.3">
      <c r="A40" s="20" t="s">
        <v>30</v>
      </c>
      <c r="B40" s="100"/>
      <c r="C40" s="101"/>
      <c r="D40" s="101"/>
      <c r="E40" s="101"/>
      <c r="F40" s="100">
        <v>0</v>
      </c>
      <c r="G40" s="100">
        <v>0</v>
      </c>
      <c r="H40" s="100">
        <v>0</v>
      </c>
      <c r="I40" s="100">
        <v>0</v>
      </c>
      <c r="J40" s="100">
        <v>0</v>
      </c>
      <c r="K40" s="100">
        <v>0</v>
      </c>
      <c r="L40" s="100">
        <v>0</v>
      </c>
      <c r="M40" s="100">
        <v>0</v>
      </c>
      <c r="N40" s="100">
        <v>7.4999999999999997E-2</v>
      </c>
      <c r="O40" s="100">
        <v>7.0000000000000001E-3</v>
      </c>
      <c r="P40" s="100">
        <v>0</v>
      </c>
      <c r="Q40" s="100">
        <v>1.4E-2</v>
      </c>
      <c r="R40" s="100">
        <v>8.0000000000000002E-3</v>
      </c>
      <c r="S40" s="100">
        <v>0.15</v>
      </c>
      <c r="T40" s="100">
        <v>1.6E-2</v>
      </c>
      <c r="U40" s="100">
        <v>6.8000000000000005E-2</v>
      </c>
      <c r="V40" s="100">
        <v>6.5000000000000002E-2</v>
      </c>
      <c r="W40" s="100">
        <v>0.19495319</v>
      </c>
      <c r="X40" s="100">
        <v>0.73253259999999987</v>
      </c>
      <c r="Y40" s="100">
        <v>8.9170999999999999E-4</v>
      </c>
      <c r="Z40" s="100">
        <v>0.84770495604618568</v>
      </c>
      <c r="AA40" s="100">
        <v>7.779195231557499</v>
      </c>
      <c r="AB40" s="100">
        <v>1.4739688032902429</v>
      </c>
      <c r="AC40" s="100">
        <v>1.9828912334369921</v>
      </c>
      <c r="AD40" s="100">
        <v>3.8556390271317325</v>
      </c>
    </row>
    <row r="41" spans="1:30" x14ac:dyDescent="0.3">
      <c r="A41" s="20" t="s">
        <v>31</v>
      </c>
      <c r="B41" s="100"/>
      <c r="C41" s="101"/>
      <c r="D41" s="101"/>
      <c r="E41" s="101"/>
      <c r="F41" s="100">
        <v>0</v>
      </c>
      <c r="G41" s="100">
        <v>0</v>
      </c>
      <c r="H41" s="100">
        <v>0</v>
      </c>
      <c r="I41" s="100">
        <v>0</v>
      </c>
      <c r="J41" s="100">
        <v>0</v>
      </c>
      <c r="K41" s="100">
        <v>0</v>
      </c>
      <c r="L41" s="100">
        <v>0</v>
      </c>
      <c r="M41" s="100">
        <v>0</v>
      </c>
      <c r="N41" s="100">
        <v>7.3999999999999996E-2</v>
      </c>
      <c r="O41" s="100">
        <v>8.3000000000000004E-2</v>
      </c>
      <c r="P41" s="100">
        <v>0.11599999999999999</v>
      </c>
      <c r="Q41" s="100">
        <v>0.13700000000000001</v>
      </c>
      <c r="R41" s="100">
        <v>0.61099999999999999</v>
      </c>
      <c r="S41" s="100">
        <v>1.33</v>
      </c>
      <c r="T41" s="100">
        <v>5.7230000000000008</v>
      </c>
      <c r="U41" s="100">
        <v>2.8840000000000003</v>
      </c>
      <c r="V41" s="100">
        <v>1.6890000000000001</v>
      </c>
      <c r="W41" s="100">
        <v>1.2273886699999998</v>
      </c>
      <c r="X41" s="100">
        <v>3.8372029299999997</v>
      </c>
      <c r="Y41" s="100">
        <v>25.422395350000002</v>
      </c>
      <c r="Z41" s="100">
        <v>37.384279046060215</v>
      </c>
      <c r="AA41" s="100">
        <v>40.95328688407475</v>
      </c>
      <c r="AB41" s="100">
        <v>62.68806921916196</v>
      </c>
      <c r="AC41" s="100">
        <v>55.742412920026354</v>
      </c>
      <c r="AD41" s="100">
        <v>76.309399885725796</v>
      </c>
    </row>
    <row r="42" spans="1:30" x14ac:dyDescent="0.3">
      <c r="A42" s="20" t="s">
        <v>32</v>
      </c>
      <c r="B42" s="100"/>
      <c r="C42" s="101"/>
      <c r="D42" s="101"/>
      <c r="E42" s="101"/>
      <c r="F42" s="100">
        <v>0</v>
      </c>
      <c r="G42" s="100">
        <v>0</v>
      </c>
      <c r="H42" s="100">
        <v>0</v>
      </c>
      <c r="I42" s="100">
        <v>0</v>
      </c>
      <c r="J42" s="100">
        <v>0</v>
      </c>
      <c r="K42" s="100">
        <v>0</v>
      </c>
      <c r="L42" s="100">
        <v>0</v>
      </c>
      <c r="M42" s="100">
        <v>0</v>
      </c>
      <c r="N42" s="100">
        <v>0</v>
      </c>
      <c r="O42" s="100">
        <v>0</v>
      </c>
      <c r="P42" s="100">
        <v>0.434</v>
      </c>
      <c r="Q42" s="100">
        <v>0</v>
      </c>
      <c r="R42" s="100">
        <v>0</v>
      </c>
      <c r="S42" s="100">
        <v>0</v>
      </c>
      <c r="T42" s="100">
        <v>0</v>
      </c>
      <c r="U42" s="100">
        <v>0</v>
      </c>
      <c r="V42" s="100">
        <v>0</v>
      </c>
      <c r="W42" s="100">
        <v>0</v>
      </c>
      <c r="X42" s="100">
        <v>0</v>
      </c>
      <c r="Y42" s="100">
        <v>0</v>
      </c>
      <c r="Z42" s="100">
        <v>0</v>
      </c>
      <c r="AA42" s="100">
        <v>0</v>
      </c>
      <c r="AB42" s="100">
        <v>0</v>
      </c>
      <c r="AC42" s="100">
        <v>0</v>
      </c>
      <c r="AD42" s="100">
        <v>0</v>
      </c>
    </row>
    <row r="43" spans="1:30" x14ac:dyDescent="0.3">
      <c r="A43" s="20" t="s">
        <v>33</v>
      </c>
      <c r="B43" s="100"/>
      <c r="C43" s="101"/>
      <c r="D43" s="101"/>
      <c r="E43" s="101"/>
      <c r="F43" s="100">
        <v>0</v>
      </c>
      <c r="G43" s="100">
        <v>0</v>
      </c>
      <c r="H43" s="100">
        <v>0</v>
      </c>
      <c r="I43" s="100">
        <v>0</v>
      </c>
      <c r="J43" s="100">
        <v>0</v>
      </c>
      <c r="K43" s="100">
        <v>0</v>
      </c>
      <c r="L43" s="100">
        <v>0</v>
      </c>
      <c r="M43" s="100">
        <v>0</v>
      </c>
      <c r="N43" s="100">
        <v>1.228</v>
      </c>
      <c r="O43" s="100">
        <v>1.427</v>
      </c>
      <c r="P43" s="100">
        <v>4.3209999999999997</v>
      </c>
      <c r="Q43" s="100">
        <v>3.8769999999999998</v>
      </c>
      <c r="R43" s="100">
        <v>4.9580000000000002</v>
      </c>
      <c r="S43" s="100">
        <v>9.3849999999999998</v>
      </c>
      <c r="T43" s="100">
        <v>9.504999999999999</v>
      </c>
      <c r="U43" s="100">
        <v>11.677</v>
      </c>
      <c r="V43" s="100">
        <v>11.036999999999999</v>
      </c>
      <c r="W43" s="100">
        <v>20.729044299999998</v>
      </c>
      <c r="X43" s="100">
        <v>28.415851349999997</v>
      </c>
      <c r="Y43" s="100">
        <v>34.577522799999983</v>
      </c>
      <c r="Z43" s="100">
        <v>37.179985496949669</v>
      </c>
      <c r="AA43" s="100">
        <v>34.468867632453907</v>
      </c>
      <c r="AB43" s="100">
        <v>24.189404427674283</v>
      </c>
      <c r="AC43" s="100">
        <v>24.861762682930006</v>
      </c>
      <c r="AD43" s="100">
        <v>32.33466668909184</v>
      </c>
    </row>
    <row r="44" spans="1:30" x14ac:dyDescent="0.3">
      <c r="A44" s="21" t="s">
        <v>34</v>
      </c>
      <c r="B44" s="100"/>
      <c r="C44" s="101"/>
      <c r="D44" s="101"/>
      <c r="E44" s="101"/>
      <c r="F44" s="100">
        <v>0</v>
      </c>
      <c r="G44" s="100">
        <v>0</v>
      </c>
      <c r="H44" s="100">
        <v>0</v>
      </c>
      <c r="I44" s="100">
        <v>0</v>
      </c>
      <c r="J44" s="100">
        <v>0</v>
      </c>
      <c r="K44" s="100">
        <v>0</v>
      </c>
      <c r="L44" s="100">
        <v>0</v>
      </c>
      <c r="M44" s="100">
        <v>0</v>
      </c>
      <c r="N44" s="100">
        <v>0</v>
      </c>
      <c r="O44" s="100">
        <v>0</v>
      </c>
      <c r="P44" s="100">
        <v>0</v>
      </c>
      <c r="Q44" s="100">
        <v>0</v>
      </c>
      <c r="R44" s="100">
        <v>0</v>
      </c>
      <c r="S44" s="100">
        <v>2.3719999999999999</v>
      </c>
      <c r="T44" s="100">
        <v>10.429</v>
      </c>
      <c r="U44" s="100">
        <v>16.736999999999998</v>
      </c>
      <c r="V44" s="100">
        <v>14.795000000000002</v>
      </c>
      <c r="W44" s="100">
        <v>18.323988219999997</v>
      </c>
      <c r="X44" s="100">
        <v>38.996470139999985</v>
      </c>
      <c r="Y44" s="100">
        <v>36.948565910000013</v>
      </c>
      <c r="Z44" s="100">
        <v>28.728169508590604</v>
      </c>
      <c r="AA44" s="100">
        <v>24.450053157518113</v>
      </c>
      <c r="AB44" s="100">
        <v>20.360859221315369</v>
      </c>
      <c r="AC44" s="100">
        <v>27.03984788343999</v>
      </c>
      <c r="AD44" s="100">
        <v>26.932325590603181</v>
      </c>
    </row>
    <row r="45" spans="1:30" x14ac:dyDescent="0.3">
      <c r="A45" s="20" t="s">
        <v>35</v>
      </c>
      <c r="B45" s="100"/>
      <c r="C45" s="101"/>
      <c r="D45" s="101"/>
      <c r="E45" s="101"/>
      <c r="F45" s="100">
        <v>0</v>
      </c>
      <c r="G45" s="100">
        <v>0</v>
      </c>
      <c r="H45" s="100">
        <v>0</v>
      </c>
      <c r="I45" s="100">
        <v>0</v>
      </c>
      <c r="J45" s="100">
        <v>0</v>
      </c>
      <c r="K45" s="100">
        <v>0</v>
      </c>
      <c r="L45" s="100">
        <v>0</v>
      </c>
      <c r="M45" s="100">
        <v>0</v>
      </c>
      <c r="N45" s="100">
        <v>3.1779999999999999</v>
      </c>
      <c r="O45" s="100">
        <v>5.5589999999999993</v>
      </c>
      <c r="P45" s="100">
        <v>7.5500000000000007</v>
      </c>
      <c r="Q45" s="100">
        <v>7.09</v>
      </c>
      <c r="R45" s="100">
        <v>5.5449999999999999</v>
      </c>
      <c r="S45" s="100">
        <v>14.323</v>
      </c>
      <c r="T45" s="100">
        <v>16.981000000000002</v>
      </c>
      <c r="U45" s="100">
        <v>12.327</v>
      </c>
      <c r="V45" s="100">
        <v>18.608000000000001</v>
      </c>
      <c r="W45" s="100">
        <v>26.271462880000001</v>
      </c>
      <c r="X45" s="100">
        <v>33.254860300000004</v>
      </c>
      <c r="Y45" s="100">
        <v>32.610886090000008</v>
      </c>
      <c r="Z45" s="100">
        <v>32.071334720139028</v>
      </c>
      <c r="AA45" s="100">
        <v>26.648038175459249</v>
      </c>
      <c r="AB45" s="100">
        <v>25.151126641502898</v>
      </c>
      <c r="AC45" s="100">
        <v>24.863185063787409</v>
      </c>
      <c r="AD45" s="100">
        <v>27.827152646727814</v>
      </c>
    </row>
    <row r="46" spans="1:30" x14ac:dyDescent="0.3">
      <c r="A46" s="21" t="s">
        <v>36</v>
      </c>
      <c r="B46" s="100"/>
      <c r="C46" s="101"/>
      <c r="D46" s="101"/>
      <c r="E46" s="101"/>
      <c r="F46" s="100">
        <v>0</v>
      </c>
      <c r="G46" s="100">
        <v>0</v>
      </c>
      <c r="H46" s="100">
        <v>0</v>
      </c>
      <c r="I46" s="100">
        <v>0</v>
      </c>
      <c r="J46" s="100">
        <v>0</v>
      </c>
      <c r="K46" s="100">
        <v>0</v>
      </c>
      <c r="L46" s="100">
        <v>0</v>
      </c>
      <c r="M46" s="100">
        <v>0</v>
      </c>
      <c r="N46" s="100">
        <v>0</v>
      </c>
      <c r="O46" s="100">
        <v>0</v>
      </c>
      <c r="P46" s="100">
        <v>0</v>
      </c>
      <c r="Q46" s="100">
        <v>0</v>
      </c>
      <c r="R46" s="100">
        <v>0</v>
      </c>
      <c r="S46" s="100">
        <v>8.86</v>
      </c>
      <c r="T46" s="100">
        <v>38.812000000000005</v>
      </c>
      <c r="U46" s="100">
        <v>43.81</v>
      </c>
      <c r="V46" s="100">
        <v>58.863999999999997</v>
      </c>
      <c r="W46" s="100">
        <v>81.073848049999981</v>
      </c>
      <c r="X46" s="100">
        <v>122.48647311000001</v>
      </c>
      <c r="Y46" s="100">
        <v>84.613792499999988</v>
      </c>
      <c r="Z46" s="100">
        <v>69.337695312732734</v>
      </c>
      <c r="AA46" s="100">
        <v>66.430082965057892</v>
      </c>
      <c r="AB46" s="100">
        <v>100.5013351423643</v>
      </c>
      <c r="AC46" s="100">
        <v>91.721413728503947</v>
      </c>
      <c r="AD46" s="100">
        <v>108.16266687929563</v>
      </c>
    </row>
    <row r="47" spans="1:30" x14ac:dyDescent="0.3">
      <c r="A47" s="21" t="s">
        <v>37</v>
      </c>
      <c r="B47" s="100"/>
      <c r="C47" s="101"/>
      <c r="D47" s="101"/>
      <c r="E47" s="101"/>
      <c r="F47" s="100">
        <v>0</v>
      </c>
      <c r="G47" s="100">
        <v>0</v>
      </c>
      <c r="H47" s="100">
        <v>0</v>
      </c>
      <c r="I47" s="100">
        <v>0</v>
      </c>
      <c r="J47" s="100">
        <v>0</v>
      </c>
      <c r="K47" s="100">
        <v>0</v>
      </c>
      <c r="L47" s="100">
        <v>0</v>
      </c>
      <c r="M47" s="100">
        <v>0</v>
      </c>
      <c r="N47" s="100">
        <v>0</v>
      </c>
      <c r="O47" s="100">
        <v>0</v>
      </c>
      <c r="P47" s="100">
        <v>0</v>
      </c>
      <c r="Q47" s="100">
        <v>0</v>
      </c>
      <c r="R47" s="100">
        <v>0</v>
      </c>
      <c r="S47" s="100">
        <v>0.38300000000000001</v>
      </c>
      <c r="T47" s="100">
        <v>0.161</v>
      </c>
      <c r="U47" s="100">
        <v>0.17599999999999999</v>
      </c>
      <c r="V47" s="100">
        <v>0</v>
      </c>
      <c r="W47" s="100">
        <v>0</v>
      </c>
      <c r="X47" s="100">
        <v>0</v>
      </c>
      <c r="Y47" s="100">
        <v>0</v>
      </c>
      <c r="Z47" s="100">
        <v>0</v>
      </c>
      <c r="AA47" s="100">
        <v>0</v>
      </c>
      <c r="AB47" s="100">
        <v>0</v>
      </c>
      <c r="AC47" s="100">
        <v>0</v>
      </c>
      <c r="AD47" s="100">
        <v>0</v>
      </c>
    </row>
    <row r="48" spans="1:30" x14ac:dyDescent="0.3">
      <c r="A48" s="20" t="s">
        <v>38</v>
      </c>
      <c r="B48" s="100"/>
      <c r="C48" s="101"/>
      <c r="D48" s="101"/>
      <c r="E48" s="101"/>
      <c r="F48" s="100">
        <v>0</v>
      </c>
      <c r="G48" s="100">
        <v>0</v>
      </c>
      <c r="H48" s="100">
        <v>0</v>
      </c>
      <c r="I48" s="100">
        <v>0</v>
      </c>
      <c r="J48" s="100">
        <v>0</v>
      </c>
      <c r="K48" s="100">
        <v>0</v>
      </c>
      <c r="L48" s="100">
        <v>0</v>
      </c>
      <c r="M48" s="100">
        <v>0</v>
      </c>
      <c r="N48" s="100">
        <v>7.8049999999999997</v>
      </c>
      <c r="O48" s="100">
        <v>11.523</v>
      </c>
      <c r="P48" s="100">
        <v>5.8620000000000001</v>
      </c>
      <c r="Q48" s="100">
        <v>6.1259959999999998</v>
      </c>
      <c r="R48" s="100">
        <v>4.8220000000000001</v>
      </c>
      <c r="S48" s="100">
        <v>6.2610000000000001</v>
      </c>
      <c r="T48" s="100">
        <v>3.0840000000000001</v>
      </c>
      <c r="U48" s="100">
        <v>4.9000000000000004</v>
      </c>
      <c r="V48" s="100">
        <v>4.3499999999999996</v>
      </c>
      <c r="W48" s="100">
        <v>2.9913981500000002</v>
      </c>
      <c r="X48" s="100">
        <v>1.8566333699999999</v>
      </c>
      <c r="Y48" s="100">
        <v>0.13256624</v>
      </c>
      <c r="Z48" s="100">
        <v>2.7423287331451145</v>
      </c>
      <c r="AA48" s="100">
        <v>3.4567058899581871</v>
      </c>
      <c r="AB48" s="100">
        <v>3.2057093690544045</v>
      </c>
      <c r="AC48" s="100">
        <v>12.670271735246217</v>
      </c>
      <c r="AD48" s="100">
        <v>6.4460154712861764</v>
      </c>
    </row>
    <row r="49" spans="1:30" x14ac:dyDescent="0.3">
      <c r="A49" s="21" t="s">
        <v>39</v>
      </c>
      <c r="B49" s="100"/>
      <c r="C49" s="101"/>
      <c r="D49" s="101"/>
      <c r="E49" s="101"/>
      <c r="F49" s="100">
        <v>0</v>
      </c>
      <c r="G49" s="100">
        <v>0</v>
      </c>
      <c r="H49" s="100">
        <v>0</v>
      </c>
      <c r="I49" s="100">
        <v>0</v>
      </c>
      <c r="J49" s="100">
        <v>0</v>
      </c>
      <c r="K49" s="100">
        <v>0</v>
      </c>
      <c r="L49" s="100">
        <v>0</v>
      </c>
      <c r="M49" s="100">
        <v>0</v>
      </c>
      <c r="N49" s="100">
        <v>0</v>
      </c>
      <c r="O49" s="100">
        <v>0</v>
      </c>
      <c r="P49" s="100">
        <v>0</v>
      </c>
      <c r="Q49" s="100">
        <v>0</v>
      </c>
      <c r="R49" s="100">
        <v>0</v>
      </c>
      <c r="S49" s="100">
        <v>2.3420000000000001</v>
      </c>
      <c r="T49" s="100">
        <v>8.8719999999999999</v>
      </c>
      <c r="U49" s="100">
        <v>7.4959999999999996</v>
      </c>
      <c r="V49" s="100">
        <v>5.609</v>
      </c>
      <c r="W49" s="100">
        <v>5.6366004299999997</v>
      </c>
      <c r="X49" s="100">
        <v>22.880620959999995</v>
      </c>
      <c r="Y49" s="100">
        <v>26.370572639999985</v>
      </c>
      <c r="Z49" s="100">
        <v>20.222197422189037</v>
      </c>
      <c r="AA49" s="100">
        <v>13.540200662372452</v>
      </c>
      <c r="AB49" s="100">
        <v>8.1371368954178145</v>
      </c>
      <c r="AC49" s="100">
        <v>9.6948266403201409</v>
      </c>
      <c r="AD49" s="100">
        <v>14.595801663422456</v>
      </c>
    </row>
    <row r="50" spans="1:30" x14ac:dyDescent="0.3">
      <c r="A50" s="20" t="s">
        <v>40</v>
      </c>
      <c r="B50" s="100"/>
      <c r="C50" s="101"/>
      <c r="D50" s="101"/>
      <c r="E50" s="101"/>
      <c r="F50" s="100">
        <v>0</v>
      </c>
      <c r="G50" s="100">
        <v>0</v>
      </c>
      <c r="H50" s="100">
        <v>0</v>
      </c>
      <c r="I50" s="100">
        <v>0</v>
      </c>
      <c r="J50" s="100">
        <v>0</v>
      </c>
      <c r="K50" s="100">
        <v>0</v>
      </c>
      <c r="L50" s="100">
        <v>0</v>
      </c>
      <c r="M50" s="100">
        <v>0</v>
      </c>
      <c r="N50" s="100">
        <v>41.330139000000003</v>
      </c>
      <c r="O50" s="100">
        <v>69.996933999999996</v>
      </c>
      <c r="P50" s="100">
        <v>81.781999999999996</v>
      </c>
      <c r="Q50" s="100">
        <v>126.174796</v>
      </c>
      <c r="R50" s="100">
        <v>211.46399999999997</v>
      </c>
      <c r="S50" s="100">
        <v>385.77300000000002</v>
      </c>
      <c r="T50" s="100">
        <v>258.649</v>
      </c>
      <c r="U50" s="100">
        <v>267.82600000000002</v>
      </c>
      <c r="V50" s="100">
        <v>274.637</v>
      </c>
      <c r="W50" s="100">
        <v>345.15618931000097</v>
      </c>
      <c r="X50" s="100">
        <v>458.27944220813561</v>
      </c>
      <c r="Y50" s="100">
        <v>527.68991460000052</v>
      </c>
      <c r="Z50" s="100">
        <v>488.5177840796789</v>
      </c>
      <c r="AA50" s="100">
        <v>460.61424447401305</v>
      </c>
      <c r="AB50" s="100">
        <v>526.39469272086706</v>
      </c>
      <c r="AC50" s="100">
        <v>544.59883352839017</v>
      </c>
      <c r="AD50" s="100">
        <v>553.04977849151317</v>
      </c>
    </row>
    <row r="51" spans="1:30" x14ac:dyDescent="0.3">
      <c r="A51" s="20"/>
      <c r="B51" s="100"/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</row>
    <row r="52" spans="1:30" x14ac:dyDescent="0.3">
      <c r="A52" s="20"/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</row>
    <row r="53" spans="1:30" x14ac:dyDescent="0.3">
      <c r="A53" s="22" t="s">
        <v>157</v>
      </c>
      <c r="B53" s="98"/>
      <c r="C53" s="99"/>
      <c r="D53" s="99"/>
      <c r="E53" s="99"/>
      <c r="F53" s="98">
        <v>461.55247932000003</v>
      </c>
      <c r="G53" s="98">
        <v>554.20392654132206</v>
      </c>
      <c r="H53" s="98">
        <v>638.60252031610946</v>
      </c>
      <c r="I53" s="98">
        <v>592.63363745044069</v>
      </c>
      <c r="J53" s="98">
        <v>510.20036000000005</v>
      </c>
      <c r="K53" s="98">
        <v>477.480547</v>
      </c>
      <c r="L53" s="98">
        <v>430.80440799999997</v>
      </c>
      <c r="M53" s="98">
        <v>443.42778699999997</v>
      </c>
      <c r="N53" s="98">
        <v>451.82208469</v>
      </c>
      <c r="O53" s="98">
        <v>528.29822933000003</v>
      </c>
      <c r="P53" s="98">
        <v>664.65023853999992</v>
      </c>
      <c r="Q53" s="98">
        <v>804.45725154291836</v>
      </c>
      <c r="R53" s="98">
        <v>944.13199900000018</v>
      </c>
      <c r="S53" s="98">
        <v>1334.1016885266763</v>
      </c>
      <c r="T53" s="98">
        <v>1653.5440183767896</v>
      </c>
      <c r="U53" s="98">
        <v>1523.0179519999999</v>
      </c>
      <c r="V53" s="98">
        <v>1635.6372902381827</v>
      </c>
      <c r="W53" s="98">
        <v>2163.2899579973987</v>
      </c>
      <c r="X53" s="98">
        <v>2356.755107118136</v>
      </c>
      <c r="Y53" s="98">
        <v>2407.45310948</v>
      </c>
      <c r="Z53" s="98">
        <v>2310.1824814000738</v>
      </c>
      <c r="AA53" s="98">
        <v>2268.0605978426238</v>
      </c>
      <c r="AB53" s="98">
        <v>2502.0108213719968</v>
      </c>
      <c r="AC53" s="98">
        <v>2900.7180961912791</v>
      </c>
      <c r="AD53" s="98">
        <v>3087.8808473686154</v>
      </c>
    </row>
    <row r="54" spans="1:30" x14ac:dyDescent="0.3">
      <c r="A54" s="103" t="s">
        <v>41</v>
      </c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</row>
    <row r="55" spans="1:30" x14ac:dyDescent="0.3">
      <c r="A55" s="103" t="s">
        <v>42</v>
      </c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</row>
    <row r="56" spans="1:30" x14ac:dyDescent="0.3">
      <c r="A56" s="103" t="s">
        <v>43</v>
      </c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</row>
    <row r="57" spans="1:30" x14ac:dyDescent="0.3">
      <c r="A57" s="103" t="s">
        <v>44</v>
      </c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</row>
    <row r="58" spans="1:30" x14ac:dyDescent="0.3">
      <c r="A58" s="20"/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0"/>
      <c r="AB58" s="100"/>
      <c r="AC58" s="100"/>
      <c r="AD58" s="100"/>
    </row>
    <row r="59" spans="1:30" x14ac:dyDescent="0.3">
      <c r="A59" s="104" t="s">
        <v>45</v>
      </c>
      <c r="B59" s="98"/>
      <c r="C59" s="99"/>
      <c r="D59" s="99"/>
      <c r="E59" s="99"/>
      <c r="F59" s="98">
        <v>0</v>
      </c>
      <c r="G59" s="98">
        <v>0</v>
      </c>
      <c r="H59" s="98">
        <v>0</v>
      </c>
      <c r="I59" s="98">
        <v>0</v>
      </c>
      <c r="J59" s="98">
        <v>0</v>
      </c>
      <c r="K59" s="98">
        <v>0</v>
      </c>
      <c r="L59" s="98">
        <v>0</v>
      </c>
      <c r="M59" s="98">
        <v>0</v>
      </c>
      <c r="N59" s="98">
        <v>0</v>
      </c>
      <c r="O59" s="98">
        <v>19.493929308632239</v>
      </c>
      <c r="P59" s="98">
        <v>69.865636932026689</v>
      </c>
      <c r="Q59" s="98">
        <v>200.30679719</v>
      </c>
      <c r="R59" s="98">
        <v>231.74103406999998</v>
      </c>
      <c r="S59" s="98">
        <v>430.86746986941625</v>
      </c>
      <c r="T59" s="98">
        <v>554.08472495965918</v>
      </c>
      <c r="U59" s="98">
        <v>803.54404233952062</v>
      </c>
      <c r="V59" s="98">
        <v>528.33678028999907</v>
      </c>
      <c r="W59" s="98">
        <v>355.83668464031018</v>
      </c>
      <c r="X59" s="98">
        <v>453.72576966550065</v>
      </c>
      <c r="Y59" s="98">
        <v>421.26163011045657</v>
      </c>
      <c r="Z59" s="98">
        <v>414.59065134432996</v>
      </c>
      <c r="AA59" s="98">
        <v>399.12556896123988</v>
      </c>
      <c r="AB59" s="98">
        <v>419.23594950265635</v>
      </c>
      <c r="AC59" s="98">
        <v>549.04022163973013</v>
      </c>
      <c r="AD59" s="98">
        <v>550.41676656905793</v>
      </c>
    </row>
    <row r="60" spans="1:30" x14ac:dyDescent="0.3">
      <c r="A60" s="21" t="s">
        <v>12</v>
      </c>
      <c r="B60" s="100"/>
      <c r="C60" s="101"/>
      <c r="D60" s="101"/>
      <c r="E60" s="101"/>
      <c r="F60" s="100">
        <v>0</v>
      </c>
      <c r="G60" s="100">
        <v>0</v>
      </c>
      <c r="H60" s="100">
        <v>0</v>
      </c>
      <c r="I60" s="100">
        <v>0</v>
      </c>
      <c r="J60" s="100">
        <v>0</v>
      </c>
      <c r="K60" s="100">
        <v>0</v>
      </c>
      <c r="L60" s="100">
        <v>0</v>
      </c>
      <c r="M60" s="100">
        <v>0</v>
      </c>
      <c r="N60" s="100">
        <v>0</v>
      </c>
      <c r="O60" s="100">
        <v>2.8225652049862471</v>
      </c>
      <c r="P60" s="100">
        <v>10.115985992686291</v>
      </c>
      <c r="Q60" s="100">
        <v>28.65250202</v>
      </c>
      <c r="R60" s="100">
        <v>27.028750390000003</v>
      </c>
      <c r="S60" s="100">
        <v>14.76340572980812</v>
      </c>
      <c r="T60" s="100">
        <v>14.760168639872042</v>
      </c>
      <c r="U60" s="100">
        <v>22.056006380570004</v>
      </c>
      <c r="V60" s="100">
        <v>28.2068887</v>
      </c>
      <c r="W60" s="100">
        <v>15.623982069999999</v>
      </c>
      <c r="X60" s="100">
        <v>44.125721339999991</v>
      </c>
      <c r="Y60" s="100">
        <v>36.872773015719986</v>
      </c>
      <c r="Z60" s="100">
        <v>32.809632796230005</v>
      </c>
      <c r="AA60" s="100">
        <v>22.880624647019999</v>
      </c>
      <c r="AB60" s="100">
        <v>14.814661317756638</v>
      </c>
      <c r="AC60" s="100">
        <v>48.489510433045005</v>
      </c>
      <c r="AD60" s="100">
        <v>20.010989504716665</v>
      </c>
    </row>
    <row r="61" spans="1:30" x14ac:dyDescent="0.3">
      <c r="A61" s="21" t="s">
        <v>13</v>
      </c>
      <c r="B61" s="100"/>
      <c r="C61" s="101"/>
      <c r="D61" s="101"/>
      <c r="E61" s="101"/>
      <c r="F61" s="100">
        <v>0</v>
      </c>
      <c r="G61" s="100">
        <v>0</v>
      </c>
      <c r="H61" s="100">
        <v>0</v>
      </c>
      <c r="I61" s="100">
        <v>0</v>
      </c>
      <c r="J61" s="100">
        <v>0</v>
      </c>
      <c r="K61" s="100">
        <v>0</v>
      </c>
      <c r="L61" s="100">
        <v>0</v>
      </c>
      <c r="M61" s="100">
        <v>0</v>
      </c>
      <c r="N61" s="100">
        <v>0</v>
      </c>
      <c r="O61" s="100">
        <v>2.5732229883273003</v>
      </c>
      <c r="P61" s="100">
        <v>9.2223512356747026</v>
      </c>
      <c r="Q61" s="100">
        <v>30.882867449999999</v>
      </c>
      <c r="R61" s="100">
        <v>20.140009710000001</v>
      </c>
      <c r="S61" s="100">
        <v>12.344335335107438</v>
      </c>
      <c r="T61" s="100">
        <v>18.742484723871719</v>
      </c>
      <c r="U61" s="100">
        <v>40.671639980829994</v>
      </c>
      <c r="V61" s="100">
        <v>21.477346179999998</v>
      </c>
      <c r="W61" s="100">
        <v>21.23312014</v>
      </c>
      <c r="X61" s="100">
        <v>21.968900439999995</v>
      </c>
      <c r="Y61" s="100">
        <v>22.278093315524998</v>
      </c>
      <c r="Z61" s="100">
        <v>24.237937231529997</v>
      </c>
      <c r="AA61" s="100">
        <v>18.620370304960002</v>
      </c>
      <c r="AB61" s="100">
        <v>27.581858076146119</v>
      </c>
      <c r="AC61" s="100">
        <v>45.707032896300007</v>
      </c>
      <c r="AD61" s="100">
        <v>42.945827968852988</v>
      </c>
    </row>
    <row r="62" spans="1:30" x14ac:dyDescent="0.3">
      <c r="A62" s="21" t="s">
        <v>36</v>
      </c>
      <c r="B62" s="100"/>
      <c r="C62" s="101"/>
      <c r="D62" s="101"/>
      <c r="E62" s="101"/>
      <c r="F62" s="100">
        <v>0</v>
      </c>
      <c r="G62" s="100">
        <v>0</v>
      </c>
      <c r="H62" s="100">
        <v>0</v>
      </c>
      <c r="I62" s="100">
        <v>0</v>
      </c>
      <c r="J62" s="100">
        <v>0</v>
      </c>
      <c r="K62" s="100">
        <v>0</v>
      </c>
      <c r="L62" s="100">
        <v>0</v>
      </c>
      <c r="M62" s="100">
        <v>0</v>
      </c>
      <c r="N62" s="100">
        <v>0</v>
      </c>
      <c r="O62" s="100">
        <v>6.5178874784076413E-2</v>
      </c>
      <c r="P62" s="100">
        <v>0.23359906200572028</v>
      </c>
      <c r="Q62" s="100">
        <v>0.77885488999999997</v>
      </c>
      <c r="R62" s="100">
        <v>0.69359484999999999</v>
      </c>
      <c r="S62" s="100">
        <v>0.47526787987335989</v>
      </c>
      <c r="T62" s="100">
        <v>3.3949753556786204</v>
      </c>
      <c r="U62" s="100">
        <v>7.6595497977800004</v>
      </c>
      <c r="V62" s="100">
        <v>3.4228869100000003</v>
      </c>
      <c r="W62" s="100">
        <v>3.0970004199999996</v>
      </c>
      <c r="X62" s="100">
        <v>3.6293992899999989</v>
      </c>
      <c r="Y62" s="100">
        <v>2.4618104303399999</v>
      </c>
      <c r="Z62" s="100">
        <v>3.7773671107800006</v>
      </c>
      <c r="AA62" s="100">
        <v>3.2666228304799998</v>
      </c>
      <c r="AB62" s="100">
        <v>2.0012566273978116</v>
      </c>
      <c r="AC62" s="100">
        <v>1.6166074679700002</v>
      </c>
      <c r="AD62" s="100">
        <v>4.0511307340244445</v>
      </c>
    </row>
    <row r="63" spans="1:30" x14ac:dyDescent="0.3">
      <c r="A63" s="21" t="s">
        <v>46</v>
      </c>
      <c r="B63" s="100"/>
      <c r="C63" s="101"/>
      <c r="D63" s="101"/>
      <c r="E63" s="101"/>
      <c r="F63" s="100">
        <v>0</v>
      </c>
      <c r="G63" s="100">
        <v>0</v>
      </c>
      <c r="H63" s="100">
        <v>0</v>
      </c>
      <c r="I63" s="100">
        <v>0</v>
      </c>
      <c r="J63" s="100">
        <v>0</v>
      </c>
      <c r="K63" s="100">
        <v>0</v>
      </c>
      <c r="L63" s="100">
        <v>0</v>
      </c>
      <c r="M63" s="100">
        <v>0</v>
      </c>
      <c r="N63" s="100">
        <v>0</v>
      </c>
      <c r="O63" s="100">
        <v>0.54411773130850205</v>
      </c>
      <c r="P63" s="100">
        <v>1.9501010423303475</v>
      </c>
      <c r="Q63" s="100">
        <v>6.0727346000000004</v>
      </c>
      <c r="R63" s="100">
        <v>4.8125587399999992</v>
      </c>
      <c r="S63" s="100">
        <v>7.1644826367612406</v>
      </c>
      <c r="T63" s="100">
        <v>7.553505237475262</v>
      </c>
      <c r="U63" s="100">
        <v>8.2401041903099994</v>
      </c>
      <c r="V63" s="100">
        <v>12.39169433</v>
      </c>
      <c r="W63" s="100">
        <v>7.4471674400000012</v>
      </c>
      <c r="X63" s="100">
        <v>8.5196790899999986</v>
      </c>
      <c r="Y63" s="100">
        <v>6.095784365070001</v>
      </c>
      <c r="Z63" s="100">
        <v>5.5052399745500002</v>
      </c>
      <c r="AA63" s="100">
        <v>4.14092711268</v>
      </c>
      <c r="AB63" s="100">
        <v>3.688060789700836</v>
      </c>
      <c r="AC63" s="100">
        <v>8.1842806152899996</v>
      </c>
      <c r="AD63" s="100">
        <v>9.6213637926499977</v>
      </c>
    </row>
    <row r="64" spans="1:30" x14ac:dyDescent="0.3">
      <c r="A64" s="21" t="s">
        <v>47</v>
      </c>
      <c r="B64" s="100"/>
      <c r="C64" s="101"/>
      <c r="D64" s="101"/>
      <c r="E64" s="101"/>
      <c r="F64" s="100">
        <v>0</v>
      </c>
      <c r="G64" s="100">
        <v>0</v>
      </c>
      <c r="H64" s="100">
        <v>0</v>
      </c>
      <c r="I64" s="100">
        <v>0</v>
      </c>
      <c r="J64" s="100">
        <v>0</v>
      </c>
      <c r="K64" s="100">
        <v>0</v>
      </c>
      <c r="L64" s="100">
        <v>0</v>
      </c>
      <c r="M64" s="100">
        <v>0</v>
      </c>
      <c r="N64" s="100">
        <v>0</v>
      </c>
      <c r="O64" s="100">
        <v>0.62703050854542464</v>
      </c>
      <c r="P64" s="100">
        <v>2.2472578597040367</v>
      </c>
      <c r="Q64" s="100">
        <v>6.31743217</v>
      </c>
      <c r="R64" s="100">
        <v>5.64648255</v>
      </c>
      <c r="S64" s="100">
        <v>8.3613463375475607</v>
      </c>
      <c r="T64" s="100">
        <v>9.4745745707067002</v>
      </c>
      <c r="U64" s="100">
        <v>12.22950836127</v>
      </c>
      <c r="V64" s="100">
        <v>7.9291673300000012</v>
      </c>
      <c r="W64" s="100">
        <v>4.6034515799999989</v>
      </c>
      <c r="X64" s="100">
        <v>6.1186597399999973</v>
      </c>
      <c r="Y64" s="100">
        <v>4.9484575154200021</v>
      </c>
      <c r="Z64" s="100">
        <v>4.8033021185399996</v>
      </c>
      <c r="AA64" s="100">
        <v>4.4022763924000001</v>
      </c>
      <c r="AB64" s="100">
        <v>4.2542453984732456</v>
      </c>
      <c r="AC64" s="100">
        <v>5.3619994884000004</v>
      </c>
      <c r="AD64" s="100">
        <v>6.5297790031055554</v>
      </c>
    </row>
    <row r="65" spans="1:256" x14ac:dyDescent="0.3">
      <c r="A65" s="21" t="s">
        <v>48</v>
      </c>
      <c r="B65" s="100"/>
      <c r="C65" s="101"/>
      <c r="D65" s="101"/>
      <c r="E65" s="101"/>
      <c r="F65" s="100">
        <v>0</v>
      </c>
      <c r="G65" s="100">
        <v>0</v>
      </c>
      <c r="H65" s="100">
        <v>0</v>
      </c>
      <c r="I65" s="100">
        <v>0</v>
      </c>
      <c r="J65" s="100">
        <v>0</v>
      </c>
      <c r="K65" s="100">
        <v>0</v>
      </c>
      <c r="L65" s="100">
        <v>0</v>
      </c>
      <c r="M65" s="100">
        <v>0</v>
      </c>
      <c r="N65" s="100">
        <v>0</v>
      </c>
      <c r="O65" s="100">
        <v>1.6202146194631277</v>
      </c>
      <c r="P65" s="100">
        <v>5.8067988532843886</v>
      </c>
      <c r="Q65" s="100">
        <v>15.870710259999999</v>
      </c>
      <c r="R65" s="100">
        <v>21.36668843</v>
      </c>
      <c r="S65" s="100">
        <v>39.572798107091479</v>
      </c>
      <c r="T65" s="100">
        <v>48.775694904122886</v>
      </c>
      <c r="U65" s="100">
        <v>70.097131939520011</v>
      </c>
      <c r="V65" s="100">
        <v>55.191557850000002</v>
      </c>
      <c r="W65" s="100">
        <v>46.630594880000046</v>
      </c>
      <c r="X65" s="100">
        <v>66.103827109999997</v>
      </c>
      <c r="Y65" s="100">
        <v>64.242507069344953</v>
      </c>
      <c r="Z65" s="100">
        <v>70.302071380999976</v>
      </c>
      <c r="AA65" s="100">
        <v>51.766558732670006</v>
      </c>
      <c r="AB65" s="100">
        <v>42.969234865829677</v>
      </c>
      <c r="AC65" s="100">
        <v>49.187227700685</v>
      </c>
      <c r="AD65" s="100">
        <v>72.7045447904311</v>
      </c>
    </row>
    <row r="66" spans="1:256" x14ac:dyDescent="0.3">
      <c r="A66" s="21" t="s">
        <v>49</v>
      </c>
      <c r="B66" s="100"/>
      <c r="C66" s="101"/>
      <c r="D66" s="101"/>
      <c r="E66" s="101"/>
      <c r="F66" s="100">
        <v>0</v>
      </c>
      <c r="G66" s="100">
        <v>0</v>
      </c>
      <c r="H66" s="100">
        <v>0</v>
      </c>
      <c r="I66" s="100">
        <v>0</v>
      </c>
      <c r="J66" s="100">
        <v>0</v>
      </c>
      <c r="K66" s="100">
        <v>0</v>
      </c>
      <c r="L66" s="100">
        <v>0</v>
      </c>
      <c r="M66" s="100">
        <v>0</v>
      </c>
      <c r="N66" s="100">
        <v>0</v>
      </c>
      <c r="O66" s="100">
        <v>3.4577728583915968</v>
      </c>
      <c r="P66" s="100">
        <v>12.392550485490263</v>
      </c>
      <c r="Q66" s="100">
        <v>38.351928310000005</v>
      </c>
      <c r="R66" s="100">
        <v>33.438592329999999</v>
      </c>
      <c r="S66" s="100">
        <v>35.289711616442084</v>
      </c>
      <c r="T66" s="100">
        <v>38.699994120941447</v>
      </c>
      <c r="U66" s="100">
        <v>42.469414590840003</v>
      </c>
      <c r="V66" s="100">
        <v>41.078025240000002</v>
      </c>
      <c r="W66" s="100">
        <v>27.528775549999992</v>
      </c>
      <c r="X66" s="100">
        <v>37.924095609999995</v>
      </c>
      <c r="Y66" s="100">
        <v>34.012934435779997</v>
      </c>
      <c r="Z66" s="100">
        <v>37.277533728340003</v>
      </c>
      <c r="AA66" s="100">
        <v>44.382178343280003</v>
      </c>
      <c r="AB66" s="100">
        <v>42.105084380101346</v>
      </c>
      <c r="AC66" s="100">
        <v>40.411179405245001</v>
      </c>
      <c r="AD66" s="100">
        <v>42.176155585886292</v>
      </c>
    </row>
    <row r="67" spans="1:256" x14ac:dyDescent="0.3">
      <c r="A67" s="21" t="s">
        <v>50</v>
      </c>
      <c r="B67" s="100"/>
      <c r="C67" s="101"/>
      <c r="D67" s="101"/>
      <c r="E67" s="101"/>
      <c r="F67" s="100">
        <v>0</v>
      </c>
      <c r="G67" s="100">
        <v>0</v>
      </c>
      <c r="H67" s="100">
        <v>0</v>
      </c>
      <c r="I67" s="100">
        <v>0</v>
      </c>
      <c r="J67" s="100">
        <v>0</v>
      </c>
      <c r="K67" s="100">
        <v>0</v>
      </c>
      <c r="L67" s="100">
        <v>0</v>
      </c>
      <c r="M67" s="100">
        <v>0</v>
      </c>
      <c r="N67" s="100">
        <v>0</v>
      </c>
      <c r="O67" s="100">
        <v>7.7168380803573164</v>
      </c>
      <c r="P67" s="100">
        <v>27.656907904490083</v>
      </c>
      <c r="Q67" s="100">
        <v>72.684849400000004</v>
      </c>
      <c r="R67" s="100">
        <v>117.57839487</v>
      </c>
      <c r="S67" s="100">
        <v>308.48463596191846</v>
      </c>
      <c r="T67" s="100">
        <v>411.17842197130193</v>
      </c>
      <c r="U67" s="100">
        <v>597.76512245165054</v>
      </c>
      <c r="V67" s="100">
        <v>357.38189656999907</v>
      </c>
      <c r="W67" s="100">
        <v>228.13871064031014</v>
      </c>
      <c r="X67" s="100">
        <v>263.38905210550064</v>
      </c>
      <c r="Y67" s="100">
        <v>249.31784220203664</v>
      </c>
      <c r="Z67" s="100">
        <v>234.23078825362998</v>
      </c>
      <c r="AA67" s="100">
        <v>248.51848398174988</v>
      </c>
      <c r="AB67" s="100">
        <v>280.4501794083572</v>
      </c>
      <c r="AC67" s="100">
        <v>349.30141755346017</v>
      </c>
      <c r="AD67" s="100">
        <v>350.13562013689426</v>
      </c>
    </row>
    <row r="68" spans="1:256" x14ac:dyDescent="0.3">
      <c r="A68" s="21" t="s">
        <v>51</v>
      </c>
      <c r="B68" s="100"/>
      <c r="C68" s="101"/>
      <c r="D68" s="101"/>
      <c r="E68" s="101"/>
      <c r="F68" s="100">
        <v>0</v>
      </c>
      <c r="G68" s="100">
        <v>0</v>
      </c>
      <c r="H68" s="100">
        <v>0</v>
      </c>
      <c r="I68" s="100">
        <v>0</v>
      </c>
      <c r="J68" s="100">
        <v>0</v>
      </c>
      <c r="K68" s="100">
        <v>0</v>
      </c>
      <c r="L68" s="100">
        <v>0</v>
      </c>
      <c r="M68" s="100">
        <v>0</v>
      </c>
      <c r="N68" s="100">
        <v>0</v>
      </c>
      <c r="O68" s="100">
        <v>6.698844246865282E-2</v>
      </c>
      <c r="P68" s="100">
        <v>0.24008449636084328</v>
      </c>
      <c r="Q68" s="100">
        <v>0.69491809000000004</v>
      </c>
      <c r="R68" s="100">
        <v>1.0359621999999999</v>
      </c>
      <c r="S68" s="100">
        <v>4.4114862648665198</v>
      </c>
      <c r="T68" s="100">
        <v>1.5049054356886198</v>
      </c>
      <c r="U68" s="100">
        <v>2.3555646467500004</v>
      </c>
      <c r="V68" s="100">
        <v>1.2573171800000003</v>
      </c>
      <c r="W68" s="100">
        <v>1.5338819199999993</v>
      </c>
      <c r="X68" s="100">
        <v>1.9464349400000005</v>
      </c>
      <c r="Y68" s="100">
        <v>1.0314277612199998</v>
      </c>
      <c r="Z68" s="100">
        <v>1.6467787497299999</v>
      </c>
      <c r="AA68" s="100">
        <v>1.1475266159999999</v>
      </c>
      <c r="AB68" s="100">
        <v>1.3713686388934501</v>
      </c>
      <c r="AC68" s="100">
        <v>0.78096607933499995</v>
      </c>
      <c r="AD68" s="100">
        <v>2.2413550524966666</v>
      </c>
    </row>
    <row r="69" spans="1:256" x14ac:dyDescent="0.3">
      <c r="A69" s="21"/>
      <c r="B69" s="98"/>
      <c r="C69" s="99"/>
      <c r="D69" s="99"/>
      <c r="E69" s="99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  <c r="AA69" s="98"/>
      <c r="AB69" s="98"/>
      <c r="AC69" s="98"/>
      <c r="AD69" s="98"/>
    </row>
    <row r="70" spans="1:256" x14ac:dyDescent="0.3">
      <c r="A70" s="104" t="s">
        <v>52</v>
      </c>
      <c r="B70" s="98"/>
      <c r="C70" s="99"/>
      <c r="D70" s="99"/>
      <c r="E70" s="99"/>
      <c r="F70" s="98">
        <v>0</v>
      </c>
      <c r="G70" s="98">
        <v>0</v>
      </c>
      <c r="H70" s="98">
        <v>0</v>
      </c>
      <c r="I70" s="98">
        <v>0</v>
      </c>
      <c r="J70" s="98">
        <v>0</v>
      </c>
      <c r="K70" s="98">
        <v>0</v>
      </c>
      <c r="L70" s="98">
        <v>0</v>
      </c>
      <c r="M70" s="98">
        <v>0</v>
      </c>
      <c r="N70" s="98">
        <v>0</v>
      </c>
      <c r="O70" s="98">
        <v>16.036156450240643</v>
      </c>
      <c r="P70" s="98">
        <v>57.473086446536428</v>
      </c>
      <c r="Q70" s="98">
        <v>161.95486887999999</v>
      </c>
      <c r="R70" s="98">
        <v>198.30244174000001</v>
      </c>
      <c r="S70" s="98">
        <v>395.57775825297415</v>
      </c>
      <c r="T70" s="98">
        <v>515.38473083871781</v>
      </c>
      <c r="U70" s="98">
        <v>761.07462774868054</v>
      </c>
      <c r="V70" s="98">
        <v>487.25875504999908</v>
      </c>
      <c r="W70" s="98">
        <v>328.30790909031015</v>
      </c>
      <c r="X70" s="98">
        <v>415.8016740555006</v>
      </c>
      <c r="Y70" s="98">
        <v>387.24869567467658</v>
      </c>
      <c r="Z70" s="98">
        <v>377.31311761598994</v>
      </c>
      <c r="AA70" s="98">
        <v>354.7433906179599</v>
      </c>
      <c r="AB70" s="98">
        <v>377.13086512255495</v>
      </c>
      <c r="AC70" s="98">
        <v>503.63841976243526</v>
      </c>
      <c r="AD70" s="98">
        <v>508.24061098317168</v>
      </c>
    </row>
    <row r="71" spans="1:256" x14ac:dyDescent="0.3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</row>
    <row r="72" spans="1:256" x14ac:dyDescent="0.3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</row>
    <row r="73" spans="1:256" s="62" customFormat="1" x14ac:dyDescent="0.3">
      <c r="A73" s="105"/>
      <c r="B73" s="105"/>
      <c r="C73" s="105"/>
      <c r="D73" s="105"/>
      <c r="E73" s="105"/>
      <c r="F73" s="105"/>
      <c r="G73" s="105"/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5"/>
      <c r="Z73" s="105"/>
      <c r="AA73" s="105"/>
      <c r="AB73" s="105"/>
      <c r="AC73" s="105"/>
      <c r="AD73" s="105"/>
    </row>
    <row r="74" spans="1:256" x14ac:dyDescent="0.3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</row>
    <row r="75" spans="1:256" x14ac:dyDescent="0.3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</row>
    <row r="76" spans="1:256" s="29" customFormat="1" ht="21" x14ac:dyDescent="0.4">
      <c r="A76" s="128" t="s">
        <v>80</v>
      </c>
      <c r="B76" s="30"/>
    </row>
    <row r="77" spans="1:256" s="29" customFormat="1" ht="21" x14ac:dyDescent="0.4">
      <c r="A77" s="128" t="s">
        <v>81</v>
      </c>
      <c r="B77" s="30"/>
    </row>
    <row r="78" spans="1:256" s="29" customFormat="1" x14ac:dyDescent="0.3">
      <c r="A78" s="33"/>
      <c r="B78" s="33"/>
    </row>
    <row r="79" spans="1:256" s="109" customFormat="1" x14ac:dyDescent="0.3">
      <c r="A79" s="106"/>
      <c r="B79" s="35" t="s">
        <v>82</v>
      </c>
      <c r="C79" s="107" t="s">
        <v>142</v>
      </c>
      <c r="D79" s="107" t="s">
        <v>143</v>
      </c>
      <c r="E79" s="107" t="s">
        <v>144</v>
      </c>
      <c r="F79" s="107" t="s">
        <v>139</v>
      </c>
      <c r="G79" s="107" t="s">
        <v>140</v>
      </c>
      <c r="H79" s="107" t="s">
        <v>141</v>
      </c>
      <c r="I79" s="107" t="s">
        <v>71</v>
      </c>
      <c r="J79" s="107" t="s">
        <v>72</v>
      </c>
      <c r="K79" s="107" t="s">
        <v>73</v>
      </c>
      <c r="L79" s="107" t="s">
        <v>74</v>
      </c>
      <c r="M79" s="107" t="s">
        <v>75</v>
      </c>
      <c r="N79" s="107" t="s">
        <v>76</v>
      </c>
      <c r="O79" s="107" t="s">
        <v>130</v>
      </c>
      <c r="P79" s="107" t="s">
        <v>131</v>
      </c>
      <c r="Q79" s="107" t="s">
        <v>132</v>
      </c>
      <c r="R79" s="107" t="s">
        <v>133</v>
      </c>
      <c r="S79" s="107" t="s">
        <v>134</v>
      </c>
      <c r="T79" s="107" t="s">
        <v>135</v>
      </c>
      <c r="U79" s="107" t="s">
        <v>136</v>
      </c>
      <c r="V79" s="107" t="s">
        <v>137</v>
      </c>
      <c r="W79" s="107" t="s">
        <v>138</v>
      </c>
      <c r="X79" s="107" t="s">
        <v>156</v>
      </c>
      <c r="Y79" s="107" t="s">
        <v>161</v>
      </c>
      <c r="Z79" s="107" t="s">
        <v>195</v>
      </c>
      <c r="AA79" s="107" t="s">
        <v>196</v>
      </c>
      <c r="AB79" s="107" t="s">
        <v>200</v>
      </c>
      <c r="AC79" s="107" t="s">
        <v>202</v>
      </c>
      <c r="AD79" s="107" t="s">
        <v>204</v>
      </c>
      <c r="AE79" s="108"/>
      <c r="AF79" s="108"/>
      <c r="AG79" s="108"/>
      <c r="AH79" s="108"/>
      <c r="AI79" s="108"/>
      <c r="AJ79" s="108"/>
      <c r="AK79" s="108"/>
      <c r="AL79" s="108"/>
      <c r="AM79" s="108"/>
      <c r="AN79" s="108"/>
      <c r="AO79" s="108"/>
      <c r="AP79" s="108"/>
      <c r="AQ79" s="108"/>
      <c r="AR79" s="108"/>
      <c r="AS79" s="108"/>
      <c r="AT79" s="108"/>
      <c r="AU79" s="108"/>
      <c r="AV79" s="108"/>
      <c r="AW79" s="108"/>
      <c r="AX79" s="108"/>
      <c r="AY79" s="108"/>
      <c r="AZ79" s="108"/>
      <c r="BA79" s="108"/>
      <c r="BB79" s="108"/>
      <c r="BC79" s="108"/>
      <c r="BD79" s="108"/>
      <c r="BE79" s="108"/>
      <c r="BF79" s="108"/>
      <c r="BG79" s="108"/>
      <c r="BH79" s="108"/>
      <c r="BI79" s="108"/>
      <c r="BJ79" s="108"/>
      <c r="BK79" s="108"/>
      <c r="BL79" s="108"/>
      <c r="BM79" s="108"/>
      <c r="BN79" s="108"/>
      <c r="BO79" s="108"/>
      <c r="BP79" s="108"/>
      <c r="BQ79" s="108"/>
      <c r="BR79" s="108"/>
      <c r="BS79" s="108"/>
      <c r="BT79" s="108"/>
      <c r="BU79" s="108"/>
      <c r="BV79" s="108"/>
      <c r="BW79" s="108"/>
      <c r="BX79" s="108"/>
      <c r="BY79" s="108"/>
      <c r="BZ79" s="108"/>
      <c r="CA79" s="108"/>
      <c r="CB79" s="108"/>
      <c r="CC79" s="108"/>
      <c r="CD79" s="108"/>
      <c r="CE79" s="108"/>
      <c r="CF79" s="108"/>
      <c r="CG79" s="108"/>
      <c r="CH79" s="108"/>
      <c r="CI79" s="108"/>
      <c r="CJ79" s="108"/>
      <c r="CK79" s="108"/>
      <c r="CL79" s="108"/>
      <c r="CM79" s="108"/>
      <c r="CN79" s="108"/>
      <c r="CO79" s="108"/>
      <c r="CP79" s="108"/>
      <c r="CQ79" s="108"/>
      <c r="CR79" s="108"/>
      <c r="CS79" s="108"/>
      <c r="CT79" s="108"/>
      <c r="CU79" s="108"/>
      <c r="CV79" s="108"/>
      <c r="CW79" s="108"/>
      <c r="CX79" s="108"/>
      <c r="CY79" s="108"/>
      <c r="CZ79" s="108"/>
      <c r="DA79" s="108"/>
      <c r="DB79" s="108"/>
      <c r="DC79" s="108"/>
      <c r="DD79" s="108"/>
      <c r="DE79" s="108"/>
      <c r="DF79" s="108"/>
      <c r="DG79" s="108"/>
      <c r="DH79" s="108"/>
      <c r="DI79" s="108"/>
      <c r="DJ79" s="108"/>
      <c r="DK79" s="108"/>
      <c r="DL79" s="108"/>
      <c r="DM79" s="108"/>
      <c r="DN79" s="108"/>
      <c r="DO79" s="108"/>
      <c r="DP79" s="108"/>
      <c r="DQ79" s="108"/>
      <c r="DR79" s="108"/>
      <c r="DS79" s="108"/>
      <c r="DT79" s="108"/>
      <c r="DU79" s="108"/>
      <c r="DV79" s="108"/>
      <c r="DW79" s="108"/>
      <c r="DX79" s="108"/>
      <c r="DY79" s="108"/>
      <c r="DZ79" s="108"/>
      <c r="EA79" s="108"/>
      <c r="EB79" s="108"/>
      <c r="EC79" s="108"/>
      <c r="ED79" s="108"/>
      <c r="EE79" s="108"/>
      <c r="EF79" s="108"/>
      <c r="EG79" s="108"/>
      <c r="EH79" s="108"/>
      <c r="EI79" s="108"/>
      <c r="EJ79" s="108"/>
      <c r="EK79" s="108"/>
      <c r="EL79" s="108"/>
      <c r="EM79" s="108"/>
      <c r="EN79" s="108"/>
      <c r="EO79" s="108"/>
      <c r="EP79" s="108"/>
      <c r="EQ79" s="108"/>
      <c r="ER79" s="108"/>
      <c r="ES79" s="108"/>
      <c r="ET79" s="108"/>
      <c r="EU79" s="108"/>
      <c r="EV79" s="108"/>
      <c r="EW79" s="108"/>
      <c r="EX79" s="108"/>
      <c r="EY79" s="108"/>
      <c r="EZ79" s="108"/>
      <c r="FA79" s="108"/>
      <c r="FB79" s="108"/>
      <c r="FC79" s="108"/>
      <c r="FD79" s="108"/>
      <c r="FE79" s="108"/>
      <c r="FF79" s="108"/>
      <c r="FG79" s="108"/>
      <c r="FH79" s="108"/>
      <c r="FI79" s="108"/>
      <c r="FJ79" s="108"/>
      <c r="FK79" s="108"/>
      <c r="FL79" s="108"/>
      <c r="FM79" s="108"/>
      <c r="FN79" s="108"/>
      <c r="FO79" s="108"/>
      <c r="FP79" s="108"/>
      <c r="FQ79" s="108"/>
      <c r="FR79" s="108"/>
      <c r="FS79" s="108"/>
      <c r="FT79" s="108"/>
      <c r="FU79" s="108"/>
      <c r="FV79" s="108"/>
      <c r="FW79" s="108"/>
      <c r="FX79" s="108"/>
      <c r="FY79" s="108"/>
      <c r="FZ79" s="108"/>
      <c r="GA79" s="108"/>
      <c r="GB79" s="108"/>
      <c r="GC79" s="108"/>
      <c r="GD79" s="108"/>
      <c r="GE79" s="108"/>
      <c r="GF79" s="108"/>
      <c r="GG79" s="108"/>
      <c r="GH79" s="108"/>
      <c r="GI79" s="108"/>
      <c r="GJ79" s="108"/>
      <c r="GK79" s="108"/>
      <c r="GL79" s="108"/>
      <c r="GM79" s="108"/>
      <c r="GN79" s="108"/>
      <c r="GO79" s="108"/>
      <c r="GP79" s="108"/>
      <c r="GQ79" s="108"/>
      <c r="GR79" s="108"/>
      <c r="GS79" s="108"/>
      <c r="GT79" s="108"/>
      <c r="GU79" s="108"/>
      <c r="GV79" s="108"/>
      <c r="GW79" s="108"/>
      <c r="GX79" s="108"/>
      <c r="GY79" s="108"/>
      <c r="GZ79" s="108"/>
      <c r="HA79" s="108"/>
      <c r="HB79" s="108"/>
      <c r="HC79" s="108"/>
      <c r="HD79" s="108"/>
      <c r="HE79" s="108"/>
      <c r="HF79" s="108"/>
      <c r="HG79" s="108"/>
      <c r="HH79" s="108"/>
      <c r="HI79" s="108"/>
      <c r="HJ79" s="108"/>
      <c r="HK79" s="108"/>
      <c r="HL79" s="108"/>
      <c r="HM79" s="108"/>
      <c r="HN79" s="108"/>
      <c r="HO79" s="108"/>
      <c r="HP79" s="108"/>
      <c r="HQ79" s="108"/>
      <c r="HR79" s="108"/>
      <c r="HS79" s="108"/>
      <c r="HT79" s="108"/>
      <c r="HU79" s="108"/>
      <c r="HV79" s="108"/>
      <c r="HW79" s="108"/>
      <c r="HX79" s="108"/>
      <c r="HY79" s="108"/>
      <c r="HZ79" s="108"/>
      <c r="IA79" s="108"/>
      <c r="IB79" s="108"/>
      <c r="IC79" s="108"/>
      <c r="ID79" s="108"/>
      <c r="IE79" s="108"/>
      <c r="IF79" s="108"/>
      <c r="IG79" s="108"/>
      <c r="IH79" s="108"/>
      <c r="II79" s="108"/>
      <c r="IJ79" s="108"/>
      <c r="IK79" s="108"/>
      <c r="IL79" s="108"/>
      <c r="IM79" s="108"/>
      <c r="IN79" s="108"/>
      <c r="IO79" s="108"/>
      <c r="IP79" s="108"/>
      <c r="IQ79" s="108"/>
      <c r="IR79" s="108"/>
      <c r="IS79" s="108"/>
      <c r="IT79" s="108"/>
      <c r="IU79" s="108"/>
      <c r="IV79" s="108"/>
    </row>
    <row r="80" spans="1:256" s="112" customFormat="1" ht="16.2" thickBot="1" x14ac:dyDescent="0.35">
      <c r="A80" s="110"/>
      <c r="B80" s="111"/>
    </row>
    <row r="81" spans="1:256" s="29" customFormat="1" ht="16.2" thickTop="1" x14ac:dyDescent="0.3">
      <c r="A81" s="33"/>
      <c r="B81" s="113"/>
    </row>
    <row r="82" spans="1:256" s="29" customFormat="1" x14ac:dyDescent="0.3">
      <c r="A82" s="33" t="s">
        <v>83</v>
      </c>
      <c r="B82" s="114"/>
      <c r="C82" s="43">
        <v>1077898</v>
      </c>
      <c r="D82" s="43">
        <v>1979435</v>
      </c>
      <c r="E82" s="43">
        <v>1902235</v>
      </c>
      <c r="F82" s="43">
        <v>3301034</v>
      </c>
      <c r="G82" s="43">
        <v>2759764</v>
      </c>
      <c r="H82" s="43">
        <v>4644287</v>
      </c>
      <c r="I82" s="43">
        <v>3502042</v>
      </c>
      <c r="J82" s="43">
        <v>3286012</v>
      </c>
      <c r="K82" s="43">
        <f>SUM('X-Monthly'!CO82:CZ82)</f>
        <v>3840787</v>
      </c>
      <c r="L82" s="43">
        <f>SUM('X-Monthly'!DA82:DL82)</f>
        <v>2514307</v>
      </c>
      <c r="M82" s="43">
        <f>SUM('X-Monthly'!DM82:DX82)</f>
        <v>3054709</v>
      </c>
      <c r="N82" s="43">
        <f>SUM('X-Monthly'!DY82:EJ82)</f>
        <v>3359857</v>
      </c>
      <c r="O82" s="43">
        <f>SUM('X-Monthly'!EK82:EV82)</f>
        <v>2393202</v>
      </c>
      <c r="P82" s="43">
        <v>2628321</v>
      </c>
      <c r="Q82" s="43">
        <v>2375369</v>
      </c>
      <c r="R82" s="43">
        <v>2173019</v>
      </c>
      <c r="S82" s="43">
        <v>2693197</v>
      </c>
      <c r="T82" s="43">
        <v>3311715</v>
      </c>
      <c r="U82" s="43">
        <v>3022667</v>
      </c>
      <c r="V82" s="43">
        <v>2657216</v>
      </c>
      <c r="W82" s="43">
        <v>3143386</v>
      </c>
      <c r="X82" s="43">
        <v>2686379.23</v>
      </c>
      <c r="Y82" s="43">
        <v>3685738</v>
      </c>
      <c r="Z82" s="43">
        <v>3447178</v>
      </c>
      <c r="AA82" s="43">
        <v>3620259</v>
      </c>
      <c r="AB82" s="43">
        <v>3542005</v>
      </c>
      <c r="AC82" s="43">
        <v>4776059</v>
      </c>
      <c r="AD82" s="43">
        <v>4170517</v>
      </c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  <c r="BF82" s="43"/>
      <c r="BG82" s="43"/>
      <c r="BH82" s="43"/>
      <c r="BI82" s="43"/>
      <c r="BJ82" s="43"/>
      <c r="BK82" s="43"/>
      <c r="BL82" s="43"/>
      <c r="BM82" s="43"/>
      <c r="BN82" s="43"/>
      <c r="BO82" s="43"/>
      <c r="BP82" s="43"/>
      <c r="BQ82" s="43"/>
      <c r="BR82" s="43"/>
      <c r="BS82" s="43"/>
      <c r="BT82" s="43"/>
      <c r="BU82" s="43"/>
      <c r="BV82" s="43"/>
      <c r="BW82" s="43"/>
      <c r="BX82" s="43"/>
      <c r="BY82" s="43"/>
      <c r="BZ82" s="43"/>
      <c r="CA82" s="43"/>
      <c r="CB82" s="43"/>
      <c r="CC82" s="43"/>
      <c r="CD82" s="43"/>
      <c r="CE82" s="43"/>
      <c r="CF82" s="43"/>
      <c r="CG82" s="43"/>
      <c r="CH82" s="43"/>
      <c r="CI82" s="43"/>
      <c r="CJ82" s="43"/>
      <c r="CK82" s="43"/>
      <c r="CL82" s="43"/>
      <c r="CM82" s="43"/>
      <c r="CN82" s="43"/>
      <c r="CO82" s="43"/>
      <c r="CP82" s="43"/>
      <c r="CQ82" s="43"/>
      <c r="CR82" s="43"/>
      <c r="CS82" s="43"/>
      <c r="CT82" s="43"/>
      <c r="CU82" s="43"/>
      <c r="CV82" s="43"/>
      <c r="CW82" s="43"/>
      <c r="CX82" s="43"/>
      <c r="CY82" s="43"/>
      <c r="CZ82" s="43"/>
      <c r="DA82" s="43"/>
      <c r="DB82" s="43"/>
      <c r="DC82" s="43"/>
      <c r="DD82" s="43"/>
      <c r="DE82" s="43"/>
      <c r="DF82" s="43"/>
      <c r="DG82" s="43"/>
      <c r="DH82" s="43"/>
      <c r="DI82" s="43"/>
      <c r="DJ82" s="43"/>
      <c r="DK82" s="43"/>
      <c r="DL82" s="43"/>
      <c r="DM82" s="43"/>
      <c r="DN82" s="43"/>
      <c r="DO82" s="43"/>
      <c r="DP82" s="43"/>
      <c r="DQ82" s="43"/>
      <c r="DR82" s="43"/>
      <c r="DS82" s="43"/>
      <c r="DT82" s="43"/>
      <c r="DU82" s="43"/>
      <c r="DV82" s="43"/>
      <c r="DW82" s="43"/>
      <c r="DX82" s="43"/>
      <c r="DY82" s="43"/>
      <c r="DZ82" s="43"/>
      <c r="EA82" s="43"/>
      <c r="EB82" s="43"/>
      <c r="EC82" s="43"/>
      <c r="ED82" s="43"/>
      <c r="EE82" s="43"/>
      <c r="EF82" s="43"/>
      <c r="EG82" s="43"/>
      <c r="EH82" s="43"/>
      <c r="EI82" s="43"/>
      <c r="EJ82" s="43"/>
      <c r="EK82" s="43"/>
      <c r="EL82" s="43"/>
      <c r="EM82" s="43"/>
      <c r="EN82" s="43"/>
      <c r="EO82" s="43"/>
      <c r="EP82" s="43"/>
      <c r="EQ82" s="43"/>
      <c r="ER82" s="43"/>
      <c r="ES82" s="43"/>
      <c r="ET82" s="43"/>
      <c r="EU82" s="43"/>
      <c r="EV82" s="43"/>
      <c r="EW82" s="43"/>
      <c r="EX82" s="43"/>
      <c r="EY82" s="43"/>
      <c r="EZ82" s="43"/>
      <c r="FA82" s="43"/>
      <c r="FB82" s="43"/>
      <c r="FC82" s="43"/>
      <c r="FD82" s="43"/>
      <c r="FE82" s="43"/>
      <c r="FF82" s="43"/>
      <c r="FG82" s="43"/>
      <c r="FH82" s="43"/>
      <c r="FI82" s="43"/>
      <c r="FJ82" s="43"/>
      <c r="FK82" s="43"/>
      <c r="FL82" s="43"/>
      <c r="FM82" s="43"/>
      <c r="FN82" s="43"/>
      <c r="FO82" s="43"/>
      <c r="FP82" s="43"/>
      <c r="FQ82" s="43"/>
      <c r="FR82" s="43"/>
      <c r="FS82" s="43"/>
      <c r="FT82" s="43"/>
      <c r="FU82" s="43"/>
      <c r="FV82" s="43"/>
      <c r="FW82" s="43"/>
      <c r="FX82" s="43"/>
      <c r="FY82" s="43"/>
      <c r="FZ82" s="43"/>
      <c r="GA82" s="43"/>
      <c r="GB82" s="43"/>
      <c r="GC82" s="43"/>
      <c r="GD82" s="43"/>
      <c r="GE82" s="43"/>
      <c r="GF82" s="43"/>
      <c r="GG82" s="43"/>
      <c r="GH82" s="43"/>
      <c r="GI82" s="43"/>
      <c r="GJ82" s="43"/>
      <c r="GK82" s="43"/>
      <c r="GL82" s="43"/>
      <c r="GM82" s="43"/>
      <c r="GN82" s="43"/>
      <c r="GO82" s="43"/>
      <c r="GP82" s="43"/>
      <c r="GQ82" s="43"/>
      <c r="GR82" s="43"/>
      <c r="GS82" s="43"/>
      <c r="GT82" s="43"/>
      <c r="GU82" s="43"/>
      <c r="GV82" s="43"/>
      <c r="GW82" s="43"/>
      <c r="GX82" s="43"/>
      <c r="GY82" s="43"/>
      <c r="GZ82" s="43"/>
      <c r="HA82" s="43"/>
      <c r="HB82" s="43"/>
      <c r="HC82" s="43"/>
      <c r="HD82" s="43"/>
      <c r="HE82" s="43"/>
      <c r="HF82" s="43"/>
      <c r="HG82" s="43"/>
      <c r="HH82" s="43"/>
      <c r="HI82" s="43"/>
      <c r="HJ82" s="43"/>
      <c r="HK82" s="43"/>
      <c r="HL82" s="43"/>
      <c r="HM82" s="43"/>
      <c r="HN82" s="43"/>
      <c r="HO82" s="43"/>
      <c r="HP82" s="43"/>
      <c r="HQ82" s="43"/>
      <c r="HR82" s="43"/>
      <c r="HS82" s="43"/>
      <c r="HT82" s="43"/>
      <c r="HU82" s="43"/>
      <c r="HV82" s="43"/>
      <c r="HW82" s="43"/>
      <c r="HX82" s="43"/>
      <c r="HY82" s="43"/>
      <c r="HZ82" s="43"/>
      <c r="IA82" s="43"/>
      <c r="IB82" s="43"/>
      <c r="IC82" s="43"/>
      <c r="ID82" s="43"/>
      <c r="IE82" s="43"/>
      <c r="IF82" s="43"/>
      <c r="IG82" s="43"/>
      <c r="IH82" s="43"/>
      <c r="II82" s="43"/>
      <c r="IJ82" s="43"/>
      <c r="IK82" s="43"/>
      <c r="IL82" s="43"/>
      <c r="IM82" s="43"/>
      <c r="IN82" s="43"/>
      <c r="IO82" s="43"/>
      <c r="IP82" s="43"/>
      <c r="IQ82" s="43"/>
      <c r="IR82" s="43"/>
      <c r="IS82" s="43"/>
      <c r="IT82" s="43"/>
      <c r="IU82" s="43"/>
      <c r="IV82" s="43"/>
    </row>
    <row r="83" spans="1:256" s="29" customFormat="1" x14ac:dyDescent="0.3">
      <c r="A83" s="33" t="s">
        <v>85</v>
      </c>
      <c r="B83" s="114"/>
      <c r="C83" s="43">
        <v>4012.4</v>
      </c>
      <c r="D83" s="43">
        <v>6100.9250000000002</v>
      </c>
      <c r="E83" s="43">
        <v>8510.9</v>
      </c>
      <c r="F83" s="43">
        <v>9429.84</v>
      </c>
      <c r="G83" s="43">
        <v>4253.7764864864866</v>
      </c>
      <c r="H83" s="43">
        <v>11628.355675675677</v>
      </c>
      <c r="I83" s="43">
        <v>53339.264864864861</v>
      </c>
      <c r="J83" s="43">
        <v>12355.243243243243</v>
      </c>
      <c r="K83" s="43">
        <f>SUM('X-Monthly'!CO83:CZ83)</f>
        <v>74944.719999999987</v>
      </c>
      <c r="L83" s="43">
        <f>SUM('X-Monthly'!DA83:DL83)</f>
        <v>91389.2</v>
      </c>
      <c r="M83" s="43">
        <f>SUM('X-Monthly'!DM83:DX83)</f>
        <v>72260</v>
      </c>
      <c r="N83" s="43">
        <f>SUM('X-Monthly'!DY83:EJ83)</f>
        <v>76345.12000000001</v>
      </c>
      <c r="O83" s="43">
        <f>SUM('X-Monthly'!EK83:EV83)</f>
        <v>85410.168189189208</v>
      </c>
      <c r="P83" s="43">
        <v>102148.98945945947</v>
      </c>
      <c r="Q83" s="43">
        <v>217829.95135135134</v>
      </c>
      <c r="R83" s="43">
        <v>36489.3045945946</v>
      </c>
      <c r="S83" s="43">
        <v>51593.85324324324</v>
      </c>
      <c r="T83" s="43">
        <v>14703.145675675676</v>
      </c>
      <c r="U83" s="43">
        <v>108672.48648648648</v>
      </c>
      <c r="V83" s="43">
        <v>40301.582162162158</v>
      </c>
      <c r="W83" s="43">
        <v>138300.86486486485</v>
      </c>
      <c r="X83" s="43">
        <v>235187.41386449811</v>
      </c>
      <c r="Y83" s="43">
        <v>92519.414054054054</v>
      </c>
      <c r="Z83" s="43">
        <v>40670.618999999992</v>
      </c>
      <c r="AA83" s="43">
        <v>63511.754635135156</v>
      </c>
      <c r="AB83" s="43">
        <v>126633.47675675676</v>
      </c>
      <c r="AC83" s="43">
        <v>171934.36216216214</v>
      </c>
      <c r="AD83" s="43">
        <v>148884.21816216217</v>
      </c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  <c r="BK83" s="43"/>
      <c r="BL83" s="43"/>
      <c r="BM83" s="43"/>
      <c r="BN83" s="43"/>
      <c r="BO83" s="43"/>
      <c r="BP83" s="43"/>
      <c r="BQ83" s="43"/>
      <c r="BR83" s="43"/>
      <c r="BS83" s="43"/>
      <c r="BT83" s="43"/>
      <c r="BU83" s="43"/>
      <c r="BV83" s="43"/>
      <c r="BW83" s="43"/>
      <c r="BX83" s="43"/>
      <c r="BY83" s="43"/>
      <c r="BZ83" s="43"/>
      <c r="CA83" s="43"/>
      <c r="CB83" s="43"/>
      <c r="CC83" s="43"/>
      <c r="CD83" s="43"/>
      <c r="CE83" s="43"/>
      <c r="CF83" s="43"/>
      <c r="CG83" s="43"/>
      <c r="CH83" s="43"/>
      <c r="CI83" s="43"/>
      <c r="CJ83" s="43"/>
      <c r="CK83" s="43"/>
      <c r="CL83" s="43"/>
      <c r="CM83" s="43"/>
      <c r="CN83" s="43"/>
      <c r="CO83" s="43"/>
      <c r="CP83" s="43"/>
      <c r="CQ83" s="43"/>
      <c r="CR83" s="43"/>
      <c r="CS83" s="43"/>
      <c r="CT83" s="43"/>
      <c r="CU83" s="43"/>
      <c r="CV83" s="43"/>
      <c r="CW83" s="43"/>
      <c r="CX83" s="43"/>
      <c r="CY83" s="43"/>
      <c r="CZ83" s="43"/>
      <c r="DA83" s="43"/>
      <c r="DB83" s="43"/>
      <c r="DC83" s="43"/>
      <c r="DD83" s="43"/>
      <c r="DE83" s="43"/>
      <c r="DF83" s="43"/>
      <c r="DG83" s="43"/>
      <c r="DH83" s="43"/>
      <c r="DI83" s="43"/>
      <c r="DJ83" s="43"/>
      <c r="DK83" s="43"/>
      <c r="DL83" s="43"/>
      <c r="DM83" s="43"/>
      <c r="DN83" s="43"/>
      <c r="DO83" s="43"/>
      <c r="DP83" s="43"/>
      <c r="DQ83" s="43"/>
      <c r="DR83" s="43"/>
      <c r="DS83" s="43"/>
      <c r="DT83" s="43"/>
      <c r="DU83" s="43"/>
      <c r="DV83" s="43"/>
      <c r="DW83" s="43"/>
      <c r="DX83" s="43"/>
      <c r="DY83" s="43"/>
      <c r="DZ83" s="43"/>
      <c r="EA83" s="43"/>
      <c r="EB83" s="43"/>
      <c r="EC83" s="43"/>
      <c r="ED83" s="43"/>
      <c r="EE83" s="43"/>
      <c r="EF83" s="43"/>
      <c r="EG83" s="43"/>
      <c r="EH83" s="43"/>
      <c r="EI83" s="43"/>
      <c r="EJ83" s="43"/>
      <c r="EK83" s="43"/>
      <c r="EL83" s="43"/>
      <c r="EM83" s="43"/>
      <c r="EN83" s="43"/>
      <c r="EO83" s="43"/>
      <c r="EP83" s="43"/>
      <c r="EQ83" s="43"/>
      <c r="ER83" s="43"/>
      <c r="ES83" s="43"/>
      <c r="ET83" s="43"/>
      <c r="EU83" s="43"/>
      <c r="EV83" s="43"/>
      <c r="EW83" s="43"/>
      <c r="EX83" s="43"/>
      <c r="EY83" s="43"/>
      <c r="EZ83" s="43"/>
      <c r="FA83" s="43"/>
      <c r="FB83" s="43"/>
      <c r="FC83" s="43"/>
      <c r="FD83" s="43"/>
      <c r="FE83" s="43"/>
      <c r="FF83" s="43"/>
      <c r="FG83" s="43"/>
      <c r="FH83" s="43"/>
      <c r="FI83" s="43"/>
      <c r="FJ83" s="43"/>
      <c r="FK83" s="43"/>
      <c r="FL83" s="43"/>
      <c r="FM83" s="43"/>
      <c r="FN83" s="43"/>
      <c r="FO83" s="43"/>
      <c r="FP83" s="43"/>
      <c r="FQ83" s="43"/>
      <c r="FR83" s="43"/>
      <c r="FS83" s="43"/>
      <c r="FT83" s="43"/>
      <c r="FU83" s="43"/>
      <c r="FV83" s="43"/>
      <c r="FW83" s="43"/>
      <c r="FX83" s="43"/>
      <c r="FY83" s="43"/>
      <c r="FZ83" s="43"/>
      <c r="GA83" s="43"/>
      <c r="GB83" s="43"/>
      <c r="GC83" s="43"/>
      <c r="GD83" s="43"/>
      <c r="GE83" s="43"/>
      <c r="GF83" s="43"/>
      <c r="GG83" s="43"/>
      <c r="GH83" s="43"/>
      <c r="GI83" s="43"/>
      <c r="GJ83" s="43"/>
      <c r="GK83" s="43"/>
      <c r="GL83" s="43"/>
      <c r="GM83" s="43"/>
      <c r="GN83" s="43"/>
      <c r="GO83" s="43"/>
      <c r="GP83" s="43"/>
      <c r="GQ83" s="43"/>
      <c r="GR83" s="43"/>
      <c r="GS83" s="43"/>
      <c r="GT83" s="43"/>
      <c r="GU83" s="43"/>
      <c r="GV83" s="43"/>
      <c r="GW83" s="43"/>
      <c r="GX83" s="43"/>
      <c r="GY83" s="43"/>
      <c r="GZ83" s="43"/>
      <c r="HA83" s="43"/>
      <c r="HB83" s="43"/>
      <c r="HC83" s="43"/>
      <c r="HD83" s="43"/>
      <c r="HE83" s="43"/>
      <c r="HF83" s="43"/>
      <c r="HG83" s="43"/>
      <c r="HH83" s="43"/>
      <c r="HI83" s="43"/>
      <c r="HJ83" s="43"/>
      <c r="HK83" s="43"/>
      <c r="HL83" s="43"/>
      <c r="HM83" s="43"/>
      <c r="HN83" s="43"/>
      <c r="HO83" s="43"/>
      <c r="HP83" s="43"/>
      <c r="HQ83" s="43"/>
      <c r="HR83" s="43"/>
      <c r="HS83" s="43"/>
      <c r="HT83" s="43"/>
      <c r="HU83" s="43"/>
      <c r="HV83" s="43"/>
      <c r="HW83" s="43"/>
      <c r="HX83" s="43"/>
      <c r="HY83" s="43"/>
      <c r="HZ83" s="43"/>
      <c r="IA83" s="43"/>
      <c r="IB83" s="43"/>
      <c r="IC83" s="43"/>
      <c r="ID83" s="43"/>
      <c r="IE83" s="43"/>
      <c r="IF83" s="43"/>
      <c r="IG83" s="43"/>
      <c r="IH83" s="43"/>
      <c r="II83" s="43"/>
      <c r="IJ83" s="43"/>
      <c r="IK83" s="43"/>
      <c r="IL83" s="43"/>
      <c r="IM83" s="43"/>
      <c r="IN83" s="43"/>
      <c r="IO83" s="43"/>
      <c r="IP83" s="43"/>
      <c r="IQ83" s="43"/>
      <c r="IR83" s="43"/>
      <c r="IS83" s="43"/>
      <c r="IT83" s="43"/>
      <c r="IU83" s="43"/>
      <c r="IV83" s="43"/>
    </row>
    <row r="84" spans="1:256" s="29" customFormat="1" x14ac:dyDescent="0.3">
      <c r="A84" s="33" t="s">
        <v>88</v>
      </c>
      <c r="B84" s="115" t="s">
        <v>149</v>
      </c>
      <c r="C84" s="43">
        <v>2675.83</v>
      </c>
      <c r="D84" s="43">
        <v>6252.7600000000011</v>
      </c>
      <c r="E84" s="43">
        <v>10287.870000000001</v>
      </c>
      <c r="F84" s="43">
        <v>11277.480000000001</v>
      </c>
      <c r="G84" s="43">
        <v>11682.720000000001</v>
      </c>
      <c r="H84" s="43">
        <v>12712.289999999997</v>
      </c>
      <c r="I84" s="43">
        <v>15956.45</v>
      </c>
      <c r="J84" s="43">
        <v>21475.959999999995</v>
      </c>
      <c r="K84" s="43">
        <f>SUM('X-Monthly'!CO84:CZ84)</f>
        <v>21717.439999999999</v>
      </c>
      <c r="L84" s="43">
        <f>SUM('X-Monthly'!DA84:DL84)</f>
        <v>25416.690000000002</v>
      </c>
      <c r="M84" s="43">
        <f>SUM('X-Monthly'!DM84:DX84)</f>
        <v>30241.340000000004</v>
      </c>
      <c r="N84" s="43">
        <f>SUM('X-Monthly'!DY84:EJ84)</f>
        <v>28752.44</v>
      </c>
      <c r="O84" s="43">
        <f>SUM('X-Monthly'!EK84:EV84)</f>
        <v>37712.11</v>
      </c>
      <c r="P84" s="43">
        <v>35434.070000000007</v>
      </c>
      <c r="Q84" s="43">
        <v>36604.980000000003</v>
      </c>
      <c r="R84" s="43">
        <v>27067.13</v>
      </c>
      <c r="S84" s="43">
        <v>44123.41</v>
      </c>
      <c r="T84" s="43">
        <v>46044.25</v>
      </c>
      <c r="U84" s="43">
        <v>48272.740000000005</v>
      </c>
      <c r="V84" s="43">
        <v>53685.09</v>
      </c>
      <c r="W84" s="43">
        <v>55378.311999999991</v>
      </c>
      <c r="X84" s="43">
        <v>55218.675000000003</v>
      </c>
      <c r="Y84" s="43">
        <v>61480.359999999993</v>
      </c>
      <c r="Z84" s="43">
        <v>60503.778999999995</v>
      </c>
      <c r="AA84" s="43">
        <v>50781.65800000001</v>
      </c>
      <c r="AB84" s="43">
        <v>56616.650999999991</v>
      </c>
      <c r="AC84" s="43">
        <v>59476.882999999994</v>
      </c>
      <c r="AD84" s="43">
        <v>70362.002000000008</v>
      </c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  <c r="BF84" s="43"/>
      <c r="BG84" s="43"/>
      <c r="BH84" s="43"/>
      <c r="BI84" s="43"/>
      <c r="BJ84" s="43"/>
      <c r="BK84" s="43"/>
      <c r="BL84" s="43"/>
      <c r="BM84" s="43"/>
      <c r="BN84" s="43"/>
      <c r="BO84" s="43"/>
      <c r="BP84" s="43"/>
      <c r="BQ84" s="43"/>
      <c r="BR84" s="43"/>
      <c r="BS84" s="43"/>
      <c r="BT84" s="43"/>
      <c r="BU84" s="43"/>
      <c r="BV84" s="43"/>
      <c r="BW84" s="43"/>
      <c r="BX84" s="43"/>
      <c r="BY84" s="43"/>
      <c r="BZ84" s="43"/>
      <c r="CA84" s="43"/>
      <c r="CB84" s="43"/>
      <c r="CC84" s="43"/>
      <c r="CD84" s="43"/>
      <c r="CE84" s="43"/>
      <c r="CF84" s="43"/>
      <c r="CG84" s="43"/>
      <c r="CH84" s="43"/>
      <c r="CI84" s="43"/>
      <c r="CJ84" s="43"/>
      <c r="CK84" s="43"/>
      <c r="CL84" s="43"/>
      <c r="CM84" s="43"/>
      <c r="CN84" s="43"/>
      <c r="CO84" s="43"/>
      <c r="CP84" s="43"/>
      <c r="CQ84" s="43"/>
      <c r="CR84" s="43"/>
      <c r="CS84" s="43"/>
      <c r="CT84" s="43"/>
      <c r="CU84" s="43"/>
      <c r="CV84" s="43"/>
      <c r="CW84" s="43"/>
      <c r="CX84" s="43"/>
      <c r="CY84" s="43"/>
      <c r="CZ84" s="43"/>
      <c r="DA84" s="43"/>
      <c r="DB84" s="43"/>
      <c r="DC84" s="43"/>
      <c r="DD84" s="43"/>
      <c r="DE84" s="43"/>
      <c r="DF84" s="43"/>
      <c r="DG84" s="43"/>
      <c r="DH84" s="43"/>
      <c r="DI84" s="43"/>
      <c r="DJ84" s="43"/>
      <c r="DK84" s="43"/>
      <c r="DL84" s="43"/>
      <c r="DM84" s="43"/>
      <c r="DN84" s="43"/>
      <c r="DO84" s="43"/>
      <c r="DP84" s="43"/>
      <c r="DQ84" s="43"/>
      <c r="DR84" s="43"/>
      <c r="DS84" s="43"/>
      <c r="DT84" s="43"/>
      <c r="DU84" s="43"/>
      <c r="DV84" s="43"/>
      <c r="DW84" s="43"/>
      <c r="DX84" s="43"/>
      <c r="DY84" s="43"/>
      <c r="DZ84" s="43"/>
      <c r="EA84" s="43"/>
      <c r="EB84" s="43"/>
      <c r="EC84" s="43"/>
      <c r="ED84" s="43"/>
      <c r="EE84" s="43"/>
      <c r="EF84" s="43"/>
      <c r="EG84" s="43"/>
      <c r="EH84" s="43"/>
      <c r="EI84" s="43"/>
      <c r="EJ84" s="43"/>
      <c r="EK84" s="43"/>
      <c r="EL84" s="43"/>
      <c r="EM84" s="43"/>
      <c r="EN84" s="43"/>
      <c r="EO84" s="43"/>
      <c r="EP84" s="43"/>
      <c r="EQ84" s="43"/>
      <c r="ER84" s="43"/>
      <c r="ES84" s="43"/>
      <c r="ET84" s="43"/>
      <c r="EU84" s="43"/>
      <c r="EV84" s="43"/>
      <c r="EW84" s="43"/>
      <c r="EX84" s="43"/>
      <c r="EY84" s="43"/>
      <c r="EZ84" s="43"/>
      <c r="FA84" s="43"/>
      <c r="FB84" s="43"/>
      <c r="FC84" s="43"/>
      <c r="FD84" s="43"/>
      <c r="FE84" s="43"/>
      <c r="FF84" s="43"/>
      <c r="FG84" s="43"/>
      <c r="FH84" s="43"/>
      <c r="FI84" s="43"/>
      <c r="FJ84" s="43"/>
      <c r="FK84" s="43"/>
      <c r="FL84" s="43"/>
      <c r="FM84" s="43"/>
      <c r="FN84" s="43"/>
      <c r="FO84" s="43"/>
      <c r="FP84" s="43"/>
      <c r="FQ84" s="43"/>
      <c r="FR84" s="43"/>
      <c r="FS84" s="43"/>
      <c r="FT84" s="43"/>
      <c r="FU84" s="43"/>
      <c r="FV84" s="43"/>
      <c r="FW84" s="43"/>
      <c r="FX84" s="43"/>
      <c r="FY84" s="43"/>
      <c r="FZ84" s="43"/>
      <c r="GA84" s="43"/>
      <c r="GB84" s="43"/>
      <c r="GC84" s="43"/>
      <c r="GD84" s="43"/>
      <c r="GE84" s="43"/>
      <c r="GF84" s="43"/>
      <c r="GG84" s="43"/>
      <c r="GH84" s="43"/>
      <c r="GI84" s="43"/>
      <c r="GJ84" s="43"/>
      <c r="GK84" s="43"/>
      <c r="GL84" s="43"/>
      <c r="GM84" s="43"/>
      <c r="GN84" s="43"/>
      <c r="GO84" s="43"/>
      <c r="GP84" s="43"/>
      <c r="GQ84" s="43"/>
      <c r="GR84" s="43"/>
      <c r="GS84" s="43"/>
      <c r="GT84" s="43"/>
      <c r="GU84" s="43"/>
      <c r="GV84" s="43"/>
      <c r="GW84" s="43"/>
      <c r="GX84" s="43"/>
      <c r="GY84" s="43"/>
      <c r="GZ84" s="43"/>
      <c r="HA84" s="43"/>
      <c r="HB84" s="43"/>
      <c r="HC84" s="43"/>
      <c r="HD84" s="43"/>
      <c r="HE84" s="43"/>
      <c r="HF84" s="43"/>
      <c r="HG84" s="43"/>
      <c r="HH84" s="43"/>
      <c r="HI84" s="43"/>
      <c r="HJ84" s="43"/>
      <c r="HK84" s="43"/>
      <c r="HL84" s="43"/>
      <c r="HM84" s="43"/>
      <c r="HN84" s="43"/>
      <c r="HO84" s="43"/>
      <c r="HP84" s="43"/>
      <c r="HQ84" s="43"/>
      <c r="HR84" s="43"/>
      <c r="HS84" s="43"/>
      <c r="HT84" s="43"/>
      <c r="HU84" s="43"/>
      <c r="HV84" s="43"/>
      <c r="HW84" s="43"/>
      <c r="HX84" s="43"/>
      <c r="HY84" s="43"/>
      <c r="HZ84" s="43"/>
      <c r="IA84" s="43"/>
      <c r="IB84" s="43"/>
      <c r="IC84" s="43"/>
      <c r="ID84" s="43"/>
      <c r="IE84" s="43"/>
      <c r="IF84" s="43"/>
      <c r="IG84" s="43"/>
      <c r="IH84" s="43"/>
      <c r="II84" s="43"/>
      <c r="IJ84" s="43"/>
      <c r="IK84" s="43"/>
      <c r="IL84" s="43"/>
      <c r="IM84" s="43"/>
      <c r="IN84" s="43"/>
      <c r="IO84" s="43"/>
      <c r="IP84" s="43"/>
      <c r="IQ84" s="43"/>
      <c r="IR84" s="43"/>
      <c r="IS84" s="43"/>
      <c r="IT84" s="43"/>
      <c r="IU84" s="43"/>
      <c r="IV84" s="43"/>
    </row>
    <row r="85" spans="1:256" s="29" customFormat="1" x14ac:dyDescent="0.3">
      <c r="A85" s="33" t="s">
        <v>90</v>
      </c>
      <c r="B85" s="115" t="s">
        <v>149</v>
      </c>
      <c r="C85" s="43">
        <v>766.87</v>
      </c>
      <c r="D85" s="43">
        <v>2202.37</v>
      </c>
      <c r="E85" s="43">
        <v>3912.24</v>
      </c>
      <c r="F85" s="43">
        <v>3335.9300000000003</v>
      </c>
      <c r="G85" s="43">
        <v>5124.54</v>
      </c>
      <c r="H85" s="43">
        <v>2490.7399999999998</v>
      </c>
      <c r="I85" s="43">
        <v>8716.5840000000007</v>
      </c>
      <c r="J85" s="43">
        <v>8792.23</v>
      </c>
      <c r="K85" s="43">
        <f>SUM('X-Monthly'!CO85:CZ85)</f>
        <v>7130.9999999999991</v>
      </c>
      <c r="L85" s="43">
        <f>SUM('X-Monthly'!DA85:DL85)</f>
        <v>12226.419999999998</v>
      </c>
      <c r="M85" s="43">
        <f>SUM('X-Monthly'!DM85:DX85)</f>
        <v>14462.5</v>
      </c>
      <c r="N85" s="43">
        <f>SUM('X-Monthly'!DY85:EJ85)</f>
        <v>20168.23</v>
      </c>
      <c r="O85" s="43">
        <f>SUM('X-Monthly'!EK85:EV85)</f>
        <v>25494.81</v>
      </c>
      <c r="P85" s="43">
        <v>28722.92</v>
      </c>
      <c r="Q85" s="43">
        <v>21628.780000000002</v>
      </c>
      <c r="R85" s="43">
        <v>17258.77</v>
      </c>
      <c r="S85" s="43">
        <v>26677.360000000001</v>
      </c>
      <c r="T85" s="43">
        <v>122231.36</v>
      </c>
      <c r="U85" s="43">
        <v>59834.659</v>
      </c>
      <c r="V85" s="43">
        <v>125364.224</v>
      </c>
      <c r="W85" s="43">
        <v>19042.190650000004</v>
      </c>
      <c r="X85" s="43">
        <v>19111.153510829998</v>
      </c>
      <c r="Y85" s="43">
        <v>34733.014499999997</v>
      </c>
      <c r="Z85" s="43">
        <v>24556.109</v>
      </c>
      <c r="AA85" s="43">
        <v>32728.481</v>
      </c>
      <c r="AB85" s="43">
        <v>39751.642499999994</v>
      </c>
      <c r="AC85" s="43">
        <v>18000.784</v>
      </c>
      <c r="AD85" s="43">
        <v>29915.858670000005</v>
      </c>
      <c r="AE85" s="43"/>
      <c r="AF85" s="43"/>
      <c r="AG85" s="43"/>
      <c r="AH85" s="43"/>
      <c r="AI85" s="43"/>
      <c r="AJ85" s="43"/>
      <c r="AK85" s="43"/>
      <c r="AL85" s="43"/>
      <c r="AM85" s="43"/>
      <c r="AN85" s="43"/>
      <c r="AO85" s="43"/>
      <c r="AP85" s="43"/>
      <c r="AQ85" s="43"/>
      <c r="AR85" s="43"/>
      <c r="AS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  <c r="BF85" s="43"/>
      <c r="BG85" s="43"/>
      <c r="BH85" s="43"/>
      <c r="BI85" s="43"/>
      <c r="BJ85" s="43"/>
      <c r="BK85" s="43"/>
      <c r="BL85" s="43"/>
      <c r="BM85" s="43"/>
      <c r="BN85" s="43"/>
      <c r="BO85" s="43"/>
      <c r="BP85" s="43"/>
      <c r="BQ85" s="43"/>
      <c r="BR85" s="43"/>
      <c r="BS85" s="43"/>
      <c r="BT85" s="43"/>
      <c r="BU85" s="43"/>
      <c r="BV85" s="43"/>
      <c r="BW85" s="43"/>
      <c r="BX85" s="43"/>
      <c r="BY85" s="43"/>
      <c r="BZ85" s="43"/>
      <c r="CA85" s="43"/>
      <c r="CB85" s="43"/>
      <c r="CC85" s="43"/>
      <c r="CD85" s="43"/>
      <c r="CE85" s="43"/>
      <c r="CF85" s="43"/>
      <c r="CG85" s="43"/>
      <c r="CH85" s="43"/>
      <c r="CI85" s="43"/>
      <c r="CJ85" s="43"/>
      <c r="CK85" s="43"/>
      <c r="CL85" s="43"/>
      <c r="CM85" s="43"/>
      <c r="CN85" s="43"/>
      <c r="CO85" s="43"/>
      <c r="CP85" s="43"/>
      <c r="CQ85" s="43"/>
      <c r="CR85" s="43"/>
      <c r="CS85" s="43"/>
      <c r="CT85" s="43"/>
      <c r="CU85" s="43"/>
      <c r="CV85" s="43"/>
      <c r="CW85" s="43"/>
      <c r="CX85" s="43"/>
      <c r="CY85" s="43"/>
      <c r="CZ85" s="43"/>
      <c r="DA85" s="43"/>
      <c r="DB85" s="43"/>
      <c r="DC85" s="43"/>
      <c r="DD85" s="43"/>
      <c r="DE85" s="43"/>
      <c r="DF85" s="43"/>
      <c r="DG85" s="43"/>
      <c r="DH85" s="43"/>
      <c r="DI85" s="43"/>
      <c r="DJ85" s="43"/>
      <c r="DK85" s="43"/>
      <c r="DL85" s="43"/>
      <c r="DM85" s="43"/>
      <c r="DN85" s="43"/>
      <c r="DO85" s="43"/>
      <c r="DP85" s="43"/>
      <c r="DQ85" s="43"/>
      <c r="DR85" s="43"/>
      <c r="DS85" s="43"/>
      <c r="DT85" s="43"/>
      <c r="DU85" s="43"/>
      <c r="DV85" s="43"/>
      <c r="DW85" s="43"/>
      <c r="DX85" s="43"/>
      <c r="DY85" s="43"/>
      <c r="DZ85" s="43"/>
      <c r="EA85" s="43"/>
      <c r="EB85" s="43"/>
      <c r="EC85" s="43"/>
      <c r="ED85" s="43"/>
      <c r="EE85" s="43"/>
      <c r="EF85" s="43"/>
      <c r="EG85" s="43"/>
      <c r="EH85" s="43"/>
      <c r="EI85" s="43"/>
      <c r="EJ85" s="43"/>
      <c r="EK85" s="43"/>
      <c r="EL85" s="43"/>
      <c r="EM85" s="43"/>
      <c r="EN85" s="43"/>
      <c r="EO85" s="43"/>
      <c r="EP85" s="43"/>
      <c r="EQ85" s="43"/>
      <c r="ER85" s="43"/>
      <c r="ES85" s="43"/>
      <c r="ET85" s="43"/>
      <c r="EU85" s="43"/>
      <c r="EV85" s="43"/>
      <c r="EW85" s="43"/>
      <c r="EX85" s="43"/>
      <c r="EY85" s="43"/>
      <c r="EZ85" s="43"/>
      <c r="FA85" s="43"/>
      <c r="FB85" s="43"/>
      <c r="FC85" s="43"/>
      <c r="FD85" s="43"/>
      <c r="FE85" s="43"/>
      <c r="FF85" s="43"/>
      <c r="FG85" s="43"/>
      <c r="FH85" s="43"/>
      <c r="FI85" s="43"/>
      <c r="FJ85" s="43"/>
      <c r="FK85" s="43"/>
      <c r="FL85" s="43"/>
      <c r="FM85" s="43"/>
      <c r="FN85" s="43"/>
      <c r="FO85" s="43"/>
      <c r="FP85" s="43"/>
      <c r="FQ85" s="43"/>
      <c r="FR85" s="43"/>
      <c r="FS85" s="43"/>
      <c r="FT85" s="43"/>
      <c r="FU85" s="43"/>
      <c r="FV85" s="43"/>
      <c r="FW85" s="43"/>
      <c r="FX85" s="43"/>
      <c r="FY85" s="43"/>
      <c r="FZ85" s="43"/>
      <c r="GA85" s="43"/>
      <c r="GB85" s="43"/>
      <c r="GC85" s="43"/>
      <c r="GD85" s="43"/>
      <c r="GE85" s="43"/>
      <c r="GF85" s="43"/>
      <c r="GG85" s="43"/>
      <c r="GH85" s="43"/>
      <c r="GI85" s="43"/>
      <c r="GJ85" s="43"/>
      <c r="GK85" s="43"/>
      <c r="GL85" s="43"/>
      <c r="GM85" s="43"/>
      <c r="GN85" s="43"/>
      <c r="GO85" s="43"/>
      <c r="GP85" s="43"/>
      <c r="GQ85" s="43"/>
      <c r="GR85" s="43"/>
      <c r="GS85" s="43"/>
      <c r="GT85" s="43"/>
      <c r="GU85" s="43"/>
      <c r="GV85" s="43"/>
      <c r="GW85" s="43"/>
      <c r="GX85" s="43"/>
      <c r="GY85" s="43"/>
      <c r="GZ85" s="43"/>
      <c r="HA85" s="43"/>
      <c r="HB85" s="43"/>
      <c r="HC85" s="43"/>
      <c r="HD85" s="43"/>
      <c r="HE85" s="43"/>
      <c r="HF85" s="43"/>
      <c r="HG85" s="43"/>
      <c r="HH85" s="43"/>
      <c r="HI85" s="43"/>
      <c r="HJ85" s="43"/>
      <c r="HK85" s="43"/>
      <c r="HL85" s="43"/>
      <c r="HM85" s="43"/>
      <c r="HN85" s="43"/>
      <c r="HO85" s="43"/>
      <c r="HP85" s="43"/>
      <c r="HQ85" s="43"/>
      <c r="HR85" s="43"/>
      <c r="HS85" s="43"/>
      <c r="HT85" s="43"/>
      <c r="HU85" s="43"/>
      <c r="HV85" s="43"/>
      <c r="HW85" s="43"/>
      <c r="HX85" s="43"/>
      <c r="HY85" s="43"/>
      <c r="HZ85" s="43"/>
      <c r="IA85" s="43"/>
      <c r="IB85" s="43"/>
      <c r="IC85" s="43"/>
      <c r="ID85" s="43"/>
      <c r="IE85" s="43"/>
      <c r="IF85" s="43"/>
      <c r="IG85" s="43"/>
      <c r="IH85" s="43"/>
      <c r="II85" s="43"/>
      <c r="IJ85" s="43"/>
      <c r="IK85" s="43"/>
      <c r="IL85" s="43"/>
      <c r="IM85" s="43"/>
      <c r="IN85" s="43"/>
      <c r="IO85" s="43"/>
      <c r="IP85" s="43"/>
      <c r="IQ85" s="43"/>
      <c r="IR85" s="43"/>
      <c r="IS85" s="43"/>
      <c r="IT85" s="43"/>
      <c r="IU85" s="43"/>
      <c r="IV85" s="43"/>
    </row>
    <row r="86" spans="1:256" s="29" customFormat="1" x14ac:dyDescent="0.3">
      <c r="A86" s="33" t="s">
        <v>91</v>
      </c>
      <c r="B86" s="115" t="s">
        <v>149</v>
      </c>
      <c r="C86" s="43">
        <v>8802.25</v>
      </c>
      <c r="D86" s="43">
        <v>10709.07</v>
      </c>
      <c r="E86" s="43">
        <v>47233.31</v>
      </c>
      <c r="F86" s="43">
        <v>37177.520000000004</v>
      </c>
      <c r="G86" s="43">
        <v>16156.57</v>
      </c>
      <c r="H86" s="43">
        <v>52623.020000000019</v>
      </c>
      <c r="I86" s="43">
        <v>14850.936</v>
      </c>
      <c r="J86" s="43">
        <v>4936.2299999999996</v>
      </c>
      <c r="K86" s="43">
        <f>SUM('X-Monthly'!CO86:CZ86)</f>
        <v>8349.42</v>
      </c>
      <c r="L86" s="43">
        <f>SUM('X-Monthly'!DA86:DL86)</f>
        <v>17213.43</v>
      </c>
      <c r="M86" s="43">
        <f>SUM('X-Monthly'!DM86:DX86)</f>
        <v>6833.7899999999991</v>
      </c>
      <c r="N86" s="43">
        <f>SUM('X-Monthly'!DY86:EJ86)</f>
        <v>8962.82</v>
      </c>
      <c r="O86" s="43">
        <f>SUM('X-Monthly'!EK86:EV86)</f>
        <v>11483.57</v>
      </c>
      <c r="P86" s="43">
        <v>14895.530000000002</v>
      </c>
      <c r="Q86" s="43">
        <v>23940.880000000001</v>
      </c>
      <c r="R86" s="43">
        <v>25474.659999999996</v>
      </c>
      <c r="S86" s="43">
        <v>15367.61</v>
      </c>
      <c r="T86" s="43">
        <v>31524.97</v>
      </c>
      <c r="U86" s="43">
        <v>35299.999999999993</v>
      </c>
      <c r="V86" s="43">
        <v>23309.34</v>
      </c>
      <c r="W86" s="43">
        <v>33168.535000000003</v>
      </c>
      <c r="X86" s="43">
        <v>29309.45</v>
      </c>
      <c r="Y86" s="43">
        <v>32615.53</v>
      </c>
      <c r="Z86" s="43">
        <v>39482.392</v>
      </c>
      <c r="AA86" s="43">
        <v>151401.89600000001</v>
      </c>
      <c r="AB86" s="43">
        <v>113976.781</v>
      </c>
      <c r="AC86" s="43">
        <v>280683.39</v>
      </c>
      <c r="AD86" s="43">
        <v>218817.01800000004</v>
      </c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3"/>
      <c r="AP86" s="43"/>
      <c r="AQ86" s="43"/>
      <c r="AR86" s="43"/>
      <c r="AS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  <c r="BF86" s="43"/>
      <c r="BG86" s="43"/>
      <c r="BH86" s="43"/>
      <c r="BI86" s="43"/>
      <c r="BJ86" s="43"/>
      <c r="BK86" s="43"/>
      <c r="BL86" s="43"/>
      <c r="BM86" s="43"/>
      <c r="BN86" s="43"/>
      <c r="BO86" s="43"/>
      <c r="BP86" s="43"/>
      <c r="BQ86" s="43"/>
      <c r="BR86" s="43"/>
      <c r="BS86" s="43"/>
      <c r="BT86" s="43"/>
      <c r="BU86" s="43"/>
      <c r="BV86" s="43"/>
      <c r="BW86" s="43"/>
      <c r="BX86" s="43"/>
      <c r="BY86" s="43"/>
      <c r="BZ86" s="43"/>
      <c r="CA86" s="43"/>
      <c r="CB86" s="43"/>
      <c r="CC86" s="43"/>
      <c r="CD86" s="43"/>
      <c r="CE86" s="43"/>
      <c r="CF86" s="43"/>
      <c r="CG86" s="43"/>
      <c r="CH86" s="43"/>
      <c r="CI86" s="43"/>
      <c r="CJ86" s="43"/>
      <c r="CK86" s="43"/>
      <c r="CL86" s="43"/>
      <c r="CM86" s="43"/>
      <c r="CN86" s="43"/>
      <c r="CO86" s="43"/>
      <c r="CP86" s="43"/>
      <c r="CQ86" s="43"/>
      <c r="CR86" s="43"/>
      <c r="CS86" s="43"/>
      <c r="CT86" s="43"/>
      <c r="CU86" s="43"/>
      <c r="CV86" s="43"/>
      <c r="CW86" s="43"/>
      <c r="CX86" s="43"/>
      <c r="CY86" s="43"/>
      <c r="CZ86" s="43"/>
      <c r="DA86" s="43"/>
      <c r="DB86" s="43"/>
      <c r="DC86" s="43"/>
      <c r="DD86" s="43"/>
      <c r="DE86" s="43"/>
      <c r="DF86" s="43"/>
      <c r="DG86" s="43"/>
      <c r="DH86" s="43"/>
      <c r="DI86" s="43"/>
      <c r="DJ86" s="43"/>
      <c r="DK86" s="43"/>
      <c r="DL86" s="43"/>
      <c r="DM86" s="43"/>
      <c r="DN86" s="43"/>
      <c r="DO86" s="43"/>
      <c r="DP86" s="43"/>
      <c r="DQ86" s="43"/>
      <c r="DR86" s="43"/>
      <c r="DS86" s="43"/>
      <c r="DT86" s="43"/>
      <c r="DU86" s="43"/>
      <c r="DV86" s="43"/>
      <c r="DW86" s="43"/>
      <c r="DX86" s="43"/>
      <c r="DY86" s="43"/>
      <c r="DZ86" s="43"/>
      <c r="EA86" s="43"/>
      <c r="EB86" s="43"/>
      <c r="EC86" s="43"/>
      <c r="ED86" s="43"/>
      <c r="EE86" s="43"/>
      <c r="EF86" s="43"/>
      <c r="EG86" s="43"/>
      <c r="EH86" s="43"/>
      <c r="EI86" s="43"/>
      <c r="EJ86" s="43"/>
      <c r="EK86" s="43"/>
      <c r="EL86" s="43"/>
      <c r="EM86" s="43"/>
      <c r="EN86" s="43"/>
      <c r="EO86" s="43"/>
      <c r="EP86" s="43"/>
      <c r="EQ86" s="43"/>
      <c r="ER86" s="43"/>
      <c r="ES86" s="43"/>
      <c r="ET86" s="43"/>
      <c r="EU86" s="43"/>
      <c r="EV86" s="43"/>
      <c r="EW86" s="43"/>
      <c r="EX86" s="43"/>
      <c r="EY86" s="43"/>
      <c r="EZ86" s="43"/>
      <c r="FA86" s="43"/>
      <c r="FB86" s="43"/>
      <c r="FC86" s="43"/>
      <c r="FD86" s="43"/>
      <c r="FE86" s="43"/>
      <c r="FF86" s="43"/>
      <c r="FG86" s="43"/>
      <c r="FH86" s="43"/>
      <c r="FI86" s="43"/>
      <c r="FJ86" s="43"/>
      <c r="FK86" s="43"/>
      <c r="FL86" s="43"/>
      <c r="FM86" s="43"/>
      <c r="FN86" s="43"/>
      <c r="FO86" s="43"/>
      <c r="FP86" s="43"/>
      <c r="FQ86" s="43"/>
      <c r="FR86" s="43"/>
      <c r="FS86" s="43"/>
      <c r="FT86" s="43"/>
      <c r="FU86" s="43"/>
      <c r="FV86" s="43"/>
      <c r="FW86" s="43"/>
      <c r="FX86" s="43"/>
      <c r="FY86" s="43"/>
      <c r="FZ86" s="43"/>
      <c r="GA86" s="43"/>
      <c r="GB86" s="43"/>
      <c r="GC86" s="43"/>
      <c r="GD86" s="43"/>
      <c r="GE86" s="43"/>
      <c r="GF86" s="43"/>
      <c r="GG86" s="43"/>
      <c r="GH86" s="43"/>
      <c r="GI86" s="43"/>
      <c r="GJ86" s="43"/>
      <c r="GK86" s="43"/>
      <c r="GL86" s="43"/>
      <c r="GM86" s="43"/>
      <c r="GN86" s="43"/>
      <c r="GO86" s="43"/>
      <c r="GP86" s="43"/>
      <c r="GQ86" s="43"/>
      <c r="GR86" s="43"/>
      <c r="GS86" s="43"/>
      <c r="GT86" s="43"/>
      <c r="GU86" s="43"/>
      <c r="GV86" s="43"/>
      <c r="GW86" s="43"/>
      <c r="GX86" s="43"/>
      <c r="GY86" s="43"/>
      <c r="GZ86" s="43"/>
      <c r="HA86" s="43"/>
      <c r="HB86" s="43"/>
      <c r="HC86" s="43"/>
      <c r="HD86" s="43"/>
      <c r="HE86" s="43"/>
      <c r="HF86" s="43"/>
      <c r="HG86" s="43"/>
      <c r="HH86" s="43"/>
      <c r="HI86" s="43"/>
      <c r="HJ86" s="43"/>
      <c r="HK86" s="43"/>
      <c r="HL86" s="43"/>
      <c r="HM86" s="43"/>
      <c r="HN86" s="43"/>
      <c r="HO86" s="43"/>
      <c r="HP86" s="43"/>
      <c r="HQ86" s="43"/>
      <c r="HR86" s="43"/>
      <c r="HS86" s="43"/>
      <c r="HT86" s="43"/>
      <c r="HU86" s="43"/>
      <c r="HV86" s="43"/>
      <c r="HW86" s="43"/>
      <c r="HX86" s="43"/>
      <c r="HY86" s="43"/>
      <c r="HZ86" s="43"/>
      <c r="IA86" s="43"/>
      <c r="IB86" s="43"/>
      <c r="IC86" s="43"/>
      <c r="ID86" s="43"/>
      <c r="IE86" s="43"/>
      <c r="IF86" s="43"/>
      <c r="IG86" s="43"/>
      <c r="IH86" s="43"/>
      <c r="II86" s="43"/>
      <c r="IJ86" s="43"/>
      <c r="IK86" s="43"/>
      <c r="IL86" s="43"/>
      <c r="IM86" s="43"/>
      <c r="IN86" s="43"/>
      <c r="IO86" s="43"/>
      <c r="IP86" s="43"/>
      <c r="IQ86" s="43"/>
      <c r="IR86" s="43"/>
      <c r="IS86" s="43"/>
      <c r="IT86" s="43"/>
      <c r="IU86" s="43"/>
      <c r="IV86" s="43"/>
    </row>
    <row r="87" spans="1:256" s="29" customFormat="1" x14ac:dyDescent="0.3">
      <c r="A87" s="33" t="s">
        <v>11</v>
      </c>
      <c r="B87" s="115" t="s">
        <v>149</v>
      </c>
      <c r="C87" s="43">
        <v>3541.79</v>
      </c>
      <c r="D87" s="43">
        <v>14232.850000000002</v>
      </c>
      <c r="E87" s="43">
        <v>9215.0499999999993</v>
      </c>
      <c r="F87" s="43">
        <v>3506.83</v>
      </c>
      <c r="G87" s="43">
        <v>10552.129999999997</v>
      </c>
      <c r="H87" s="43">
        <v>14276.929999999998</v>
      </c>
      <c r="I87" s="43">
        <v>1030.29</v>
      </c>
      <c r="J87" s="43">
        <v>12.4</v>
      </c>
      <c r="K87" s="43">
        <f>SUM('X-Monthly'!CO87:CZ87)</f>
        <v>2422.9900000000002</v>
      </c>
      <c r="L87" s="43">
        <f>SUM('X-Monthly'!DA87:DL87)</f>
        <v>978.91</v>
      </c>
      <c r="M87" s="43">
        <f>SUM('X-Monthly'!DM87:DX87)</f>
        <v>1592.0800000000002</v>
      </c>
      <c r="N87" s="43">
        <f>SUM('X-Monthly'!DY87:EJ87)</f>
        <v>1387.0800000000002</v>
      </c>
      <c r="O87" s="43">
        <f>SUM('X-Monthly'!EK87:EV87)</f>
        <v>5915.62</v>
      </c>
      <c r="P87" s="43">
        <v>3963.67</v>
      </c>
      <c r="Q87" s="43">
        <v>6188.9400000000005</v>
      </c>
      <c r="R87" s="43">
        <v>7590.5899999999992</v>
      </c>
      <c r="S87" s="43">
        <v>6010.21</v>
      </c>
      <c r="T87" s="43">
        <v>10192.320000000002</v>
      </c>
      <c r="U87" s="43">
        <v>11307.383</v>
      </c>
      <c r="V87" s="43">
        <v>10237.555084538719</v>
      </c>
      <c r="W87" s="43">
        <v>14877.59</v>
      </c>
      <c r="X87" s="43">
        <v>10294.026000000002</v>
      </c>
      <c r="Y87" s="43">
        <v>19236.96</v>
      </c>
      <c r="Z87" s="43">
        <v>19272.438000000002</v>
      </c>
      <c r="AA87" s="43">
        <v>42381.338000000003</v>
      </c>
      <c r="AB87" s="43">
        <v>16076.835999999999</v>
      </c>
      <c r="AC87" s="43">
        <v>16153.399999999998</v>
      </c>
      <c r="AD87" s="43">
        <v>21192.671000000002</v>
      </c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43"/>
      <c r="BH87" s="43"/>
      <c r="BI87" s="43"/>
      <c r="BJ87" s="43"/>
      <c r="BK87" s="43"/>
      <c r="BL87" s="43"/>
      <c r="BM87" s="43"/>
      <c r="BN87" s="43"/>
      <c r="BO87" s="43"/>
      <c r="BP87" s="43"/>
      <c r="BQ87" s="43"/>
      <c r="BR87" s="43"/>
      <c r="BS87" s="43"/>
      <c r="BT87" s="43"/>
      <c r="BU87" s="43"/>
      <c r="BV87" s="43"/>
      <c r="BW87" s="43"/>
      <c r="BX87" s="43"/>
      <c r="BY87" s="43"/>
      <c r="BZ87" s="43"/>
      <c r="CA87" s="43"/>
      <c r="CB87" s="43"/>
      <c r="CC87" s="43"/>
      <c r="CD87" s="43"/>
      <c r="CE87" s="43"/>
      <c r="CF87" s="43"/>
      <c r="CG87" s="43"/>
      <c r="CH87" s="43"/>
      <c r="CI87" s="43"/>
      <c r="CJ87" s="43"/>
      <c r="CK87" s="43"/>
      <c r="CL87" s="43"/>
      <c r="CM87" s="43"/>
      <c r="CN87" s="43"/>
      <c r="CO87" s="43"/>
      <c r="CP87" s="43"/>
      <c r="CQ87" s="43"/>
      <c r="CR87" s="43"/>
      <c r="CS87" s="43"/>
      <c r="CT87" s="43"/>
      <c r="CU87" s="43"/>
      <c r="CV87" s="43"/>
      <c r="CW87" s="43"/>
      <c r="CX87" s="43"/>
      <c r="CY87" s="43"/>
      <c r="CZ87" s="43"/>
      <c r="DA87" s="43"/>
      <c r="DB87" s="43"/>
      <c r="DC87" s="43"/>
      <c r="DD87" s="43"/>
      <c r="DE87" s="43"/>
      <c r="DF87" s="43"/>
      <c r="DG87" s="43"/>
      <c r="DH87" s="43"/>
      <c r="DI87" s="43"/>
      <c r="DJ87" s="43"/>
      <c r="DK87" s="43"/>
      <c r="DL87" s="43"/>
      <c r="DM87" s="43"/>
      <c r="DN87" s="43"/>
      <c r="DO87" s="43"/>
      <c r="DP87" s="43"/>
      <c r="DQ87" s="43"/>
      <c r="DR87" s="43"/>
      <c r="DS87" s="43"/>
      <c r="DT87" s="43"/>
      <c r="DU87" s="43"/>
      <c r="DV87" s="43"/>
      <c r="DW87" s="43"/>
      <c r="DX87" s="43"/>
      <c r="DY87" s="43"/>
      <c r="DZ87" s="43"/>
      <c r="EA87" s="43"/>
      <c r="EB87" s="43"/>
      <c r="EC87" s="43"/>
      <c r="ED87" s="43"/>
      <c r="EE87" s="43"/>
      <c r="EF87" s="43"/>
      <c r="EG87" s="43"/>
      <c r="EH87" s="43"/>
      <c r="EI87" s="43"/>
      <c r="EJ87" s="43"/>
      <c r="EK87" s="43"/>
      <c r="EL87" s="43"/>
      <c r="EM87" s="43"/>
      <c r="EN87" s="43"/>
      <c r="EO87" s="43"/>
      <c r="EP87" s="43"/>
      <c r="EQ87" s="43"/>
      <c r="ER87" s="43"/>
      <c r="ES87" s="43"/>
      <c r="ET87" s="43"/>
      <c r="EU87" s="43"/>
      <c r="EV87" s="43"/>
      <c r="EW87" s="43"/>
      <c r="EX87" s="43"/>
      <c r="EY87" s="43"/>
      <c r="EZ87" s="43"/>
      <c r="FA87" s="43"/>
      <c r="FB87" s="43"/>
      <c r="FC87" s="43"/>
      <c r="FD87" s="43"/>
      <c r="FE87" s="43"/>
      <c r="FF87" s="43"/>
      <c r="FG87" s="43"/>
      <c r="FH87" s="43"/>
      <c r="FI87" s="43"/>
      <c r="FJ87" s="43"/>
      <c r="FK87" s="43"/>
      <c r="FL87" s="43"/>
      <c r="FM87" s="43"/>
      <c r="FN87" s="43"/>
      <c r="FO87" s="43"/>
      <c r="FP87" s="43"/>
      <c r="FQ87" s="43"/>
      <c r="FR87" s="43"/>
      <c r="FS87" s="43"/>
      <c r="FT87" s="43"/>
      <c r="FU87" s="43"/>
      <c r="FV87" s="43"/>
      <c r="FW87" s="43"/>
      <c r="FX87" s="43"/>
      <c r="FY87" s="43"/>
      <c r="FZ87" s="43"/>
      <c r="GA87" s="43"/>
      <c r="GB87" s="43"/>
      <c r="GC87" s="43"/>
      <c r="GD87" s="43"/>
      <c r="GE87" s="43"/>
      <c r="GF87" s="43"/>
      <c r="GG87" s="43"/>
      <c r="GH87" s="43"/>
      <c r="GI87" s="43"/>
      <c r="GJ87" s="43"/>
      <c r="GK87" s="43"/>
      <c r="GL87" s="43"/>
      <c r="GM87" s="43"/>
      <c r="GN87" s="43"/>
      <c r="GO87" s="43"/>
      <c r="GP87" s="43"/>
      <c r="GQ87" s="43"/>
      <c r="GR87" s="43"/>
      <c r="GS87" s="43"/>
      <c r="GT87" s="43"/>
      <c r="GU87" s="43"/>
      <c r="GV87" s="43"/>
      <c r="GW87" s="43"/>
      <c r="GX87" s="43"/>
      <c r="GY87" s="43"/>
      <c r="GZ87" s="43"/>
      <c r="HA87" s="43"/>
      <c r="HB87" s="43"/>
      <c r="HC87" s="43"/>
      <c r="HD87" s="43"/>
      <c r="HE87" s="43"/>
      <c r="HF87" s="43"/>
      <c r="HG87" s="43"/>
      <c r="HH87" s="43"/>
      <c r="HI87" s="43"/>
      <c r="HJ87" s="43"/>
      <c r="HK87" s="43"/>
      <c r="HL87" s="43"/>
      <c r="HM87" s="43"/>
      <c r="HN87" s="43"/>
      <c r="HO87" s="43"/>
      <c r="HP87" s="43"/>
      <c r="HQ87" s="43"/>
      <c r="HR87" s="43"/>
      <c r="HS87" s="43"/>
      <c r="HT87" s="43"/>
      <c r="HU87" s="43"/>
      <c r="HV87" s="43"/>
      <c r="HW87" s="43"/>
      <c r="HX87" s="43"/>
      <c r="HY87" s="43"/>
      <c r="HZ87" s="43"/>
      <c r="IA87" s="43"/>
      <c r="IB87" s="43"/>
      <c r="IC87" s="43"/>
      <c r="ID87" s="43"/>
      <c r="IE87" s="43"/>
      <c r="IF87" s="43"/>
      <c r="IG87" s="43"/>
      <c r="IH87" s="43"/>
      <c r="II87" s="43"/>
      <c r="IJ87" s="43"/>
      <c r="IK87" s="43"/>
      <c r="IL87" s="43"/>
      <c r="IM87" s="43"/>
      <c r="IN87" s="43"/>
      <c r="IO87" s="43"/>
      <c r="IP87" s="43"/>
      <c r="IQ87" s="43"/>
      <c r="IR87" s="43"/>
      <c r="IS87" s="43"/>
      <c r="IT87" s="43"/>
      <c r="IU87" s="43"/>
      <c r="IV87" s="43"/>
    </row>
    <row r="88" spans="1:256" s="29" customFormat="1" x14ac:dyDescent="0.3">
      <c r="A88" s="33" t="s">
        <v>92</v>
      </c>
      <c r="B88" s="115" t="s">
        <v>149</v>
      </c>
      <c r="C88" s="43">
        <v>1120</v>
      </c>
      <c r="D88" s="43">
        <v>136.19999999999999</v>
      </c>
      <c r="E88" s="43">
        <v>2410.6999999999998</v>
      </c>
      <c r="F88" s="43">
        <v>2602.65</v>
      </c>
      <c r="G88" s="43">
        <v>2349.0500000000002</v>
      </c>
      <c r="H88" s="43">
        <v>0</v>
      </c>
      <c r="I88" s="43">
        <v>181.07999999999998</v>
      </c>
      <c r="J88" s="43">
        <v>49.849999999999994</v>
      </c>
      <c r="K88" s="43">
        <f>SUM('X-Monthly'!CO88:CZ88)</f>
        <v>39</v>
      </c>
      <c r="L88" s="43">
        <f>SUM('X-Monthly'!DA88:DL88)</f>
        <v>56.81</v>
      </c>
      <c r="M88" s="43">
        <f>SUM('X-Monthly'!DM88:DX88)</f>
        <v>219.71</v>
      </c>
      <c r="N88" s="43">
        <f>SUM('X-Monthly'!DY88:EJ88)</f>
        <v>454.28</v>
      </c>
      <c r="O88" s="43">
        <f>SUM('X-Monthly'!EK88:EV88)</f>
        <v>536.5100000000001</v>
      </c>
      <c r="P88" s="43">
        <v>455.31</v>
      </c>
      <c r="Q88" s="43">
        <v>580.18000000000006</v>
      </c>
      <c r="R88" s="43">
        <v>3112.75</v>
      </c>
      <c r="S88" s="43">
        <v>5920.51</v>
      </c>
      <c r="T88" s="43">
        <v>3283.71</v>
      </c>
      <c r="U88" s="43">
        <v>4451.42</v>
      </c>
      <c r="V88" s="43">
        <v>991.31</v>
      </c>
      <c r="W88" s="43">
        <v>2168.06</v>
      </c>
      <c r="X88" s="43">
        <v>868.51599999999996</v>
      </c>
      <c r="Y88" s="43">
        <v>18.190000000000001</v>
      </c>
      <c r="Z88" s="43">
        <v>1741.6970099999999</v>
      </c>
      <c r="AA88" s="43">
        <v>14941.473</v>
      </c>
      <c r="AB88" s="43">
        <v>12954.478000000001</v>
      </c>
      <c r="AC88" s="43">
        <v>12357.035</v>
      </c>
      <c r="AD88" s="43">
        <v>24369.132000000005</v>
      </c>
      <c r="AE88" s="43"/>
      <c r="AF88" s="43"/>
      <c r="AG88" s="43"/>
      <c r="AH88" s="43"/>
      <c r="AI88" s="43"/>
      <c r="AJ88" s="43"/>
      <c r="AK88" s="43"/>
      <c r="AL88" s="43"/>
      <c r="AM88" s="43"/>
      <c r="AN88" s="43"/>
      <c r="AO88" s="43"/>
      <c r="AP88" s="43"/>
      <c r="AQ88" s="43"/>
      <c r="AR88" s="43"/>
      <c r="AS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  <c r="BF88" s="43"/>
      <c r="BG88" s="43"/>
      <c r="BH88" s="43"/>
      <c r="BI88" s="43"/>
      <c r="BJ88" s="43"/>
      <c r="BK88" s="43"/>
      <c r="BL88" s="43"/>
      <c r="BM88" s="43"/>
      <c r="BN88" s="43"/>
      <c r="BO88" s="43"/>
      <c r="BP88" s="43"/>
      <c r="BQ88" s="43"/>
      <c r="BR88" s="43"/>
      <c r="BS88" s="43"/>
      <c r="BT88" s="43"/>
      <c r="BU88" s="43"/>
      <c r="BV88" s="43"/>
      <c r="BW88" s="43"/>
      <c r="BX88" s="43"/>
      <c r="BY88" s="43"/>
      <c r="BZ88" s="43"/>
      <c r="CA88" s="43"/>
      <c r="CB88" s="43"/>
      <c r="CC88" s="43"/>
      <c r="CD88" s="43"/>
      <c r="CE88" s="43"/>
      <c r="CF88" s="43"/>
      <c r="CG88" s="43"/>
      <c r="CH88" s="43"/>
      <c r="CI88" s="43"/>
      <c r="CJ88" s="43"/>
      <c r="CK88" s="43"/>
      <c r="CL88" s="43"/>
      <c r="CM88" s="43"/>
      <c r="CN88" s="43"/>
      <c r="CO88" s="43"/>
      <c r="CP88" s="43"/>
      <c r="CQ88" s="43"/>
      <c r="CR88" s="43"/>
      <c r="CS88" s="43"/>
      <c r="CT88" s="43"/>
      <c r="CU88" s="43"/>
      <c r="CV88" s="43"/>
      <c r="CW88" s="43"/>
      <c r="CX88" s="43"/>
      <c r="CY88" s="43"/>
      <c r="CZ88" s="43"/>
      <c r="DA88" s="43"/>
      <c r="DB88" s="43"/>
      <c r="DC88" s="43"/>
      <c r="DD88" s="43"/>
      <c r="DE88" s="43"/>
      <c r="DF88" s="43"/>
      <c r="DG88" s="43"/>
      <c r="DH88" s="43"/>
      <c r="DI88" s="43"/>
      <c r="DJ88" s="43"/>
      <c r="DK88" s="43"/>
      <c r="DL88" s="43"/>
      <c r="DM88" s="43"/>
      <c r="DN88" s="43"/>
      <c r="DO88" s="43"/>
      <c r="DP88" s="43"/>
      <c r="DQ88" s="43"/>
      <c r="DR88" s="43"/>
      <c r="DS88" s="43"/>
      <c r="DT88" s="43"/>
      <c r="DU88" s="43"/>
      <c r="DV88" s="43"/>
      <c r="DW88" s="43"/>
      <c r="DX88" s="43"/>
      <c r="DY88" s="43"/>
      <c r="DZ88" s="43"/>
      <c r="EA88" s="43"/>
      <c r="EB88" s="43"/>
      <c r="EC88" s="43"/>
      <c r="ED88" s="43"/>
      <c r="EE88" s="43"/>
      <c r="EF88" s="43"/>
      <c r="EG88" s="43"/>
      <c r="EH88" s="43"/>
      <c r="EI88" s="43"/>
      <c r="EJ88" s="43"/>
      <c r="EK88" s="43"/>
      <c r="EL88" s="43"/>
      <c r="EM88" s="43"/>
      <c r="EN88" s="43"/>
      <c r="EO88" s="43"/>
      <c r="EP88" s="43"/>
      <c r="EQ88" s="43"/>
      <c r="ER88" s="43"/>
      <c r="ES88" s="43"/>
      <c r="ET88" s="43"/>
      <c r="EU88" s="43"/>
      <c r="EV88" s="43"/>
      <c r="EW88" s="43"/>
      <c r="EX88" s="43"/>
      <c r="EY88" s="43"/>
      <c r="EZ88" s="43"/>
      <c r="FA88" s="43"/>
      <c r="FB88" s="43"/>
      <c r="FC88" s="43"/>
      <c r="FD88" s="43"/>
      <c r="FE88" s="43"/>
      <c r="FF88" s="43"/>
      <c r="FG88" s="43"/>
      <c r="FH88" s="43"/>
      <c r="FI88" s="43"/>
      <c r="FJ88" s="43"/>
      <c r="FK88" s="43"/>
      <c r="FL88" s="43"/>
      <c r="FM88" s="43"/>
      <c r="FN88" s="43"/>
      <c r="FO88" s="43"/>
      <c r="FP88" s="43"/>
      <c r="FQ88" s="43"/>
      <c r="FR88" s="43"/>
      <c r="FS88" s="43"/>
      <c r="FT88" s="43"/>
      <c r="FU88" s="43"/>
      <c r="FV88" s="43"/>
      <c r="FW88" s="43"/>
      <c r="FX88" s="43"/>
      <c r="FY88" s="43"/>
      <c r="FZ88" s="43"/>
      <c r="GA88" s="43"/>
      <c r="GB88" s="43"/>
      <c r="GC88" s="43"/>
      <c r="GD88" s="43"/>
      <c r="GE88" s="43"/>
      <c r="GF88" s="43"/>
      <c r="GG88" s="43"/>
      <c r="GH88" s="43"/>
      <c r="GI88" s="43"/>
      <c r="GJ88" s="43"/>
      <c r="GK88" s="43"/>
      <c r="GL88" s="43"/>
      <c r="GM88" s="43"/>
      <c r="GN88" s="43"/>
      <c r="GO88" s="43"/>
      <c r="GP88" s="43"/>
      <c r="GQ88" s="43"/>
      <c r="GR88" s="43"/>
      <c r="GS88" s="43"/>
      <c r="GT88" s="43"/>
      <c r="GU88" s="43"/>
      <c r="GV88" s="43"/>
      <c r="GW88" s="43"/>
      <c r="GX88" s="43"/>
      <c r="GY88" s="43"/>
      <c r="GZ88" s="43"/>
      <c r="HA88" s="43"/>
      <c r="HB88" s="43"/>
      <c r="HC88" s="43"/>
      <c r="HD88" s="43"/>
      <c r="HE88" s="43"/>
      <c r="HF88" s="43"/>
      <c r="HG88" s="43"/>
      <c r="HH88" s="43"/>
      <c r="HI88" s="43"/>
      <c r="HJ88" s="43"/>
      <c r="HK88" s="43"/>
      <c r="HL88" s="43"/>
      <c r="HM88" s="43"/>
      <c r="HN88" s="43"/>
      <c r="HO88" s="43"/>
      <c r="HP88" s="43"/>
      <c r="HQ88" s="43"/>
      <c r="HR88" s="43"/>
      <c r="HS88" s="43"/>
      <c r="HT88" s="43"/>
      <c r="HU88" s="43"/>
      <c r="HV88" s="43"/>
      <c r="HW88" s="43"/>
      <c r="HX88" s="43"/>
      <c r="HY88" s="43"/>
      <c r="HZ88" s="43"/>
      <c r="IA88" s="43"/>
      <c r="IB88" s="43"/>
      <c r="IC88" s="43"/>
      <c r="ID88" s="43"/>
      <c r="IE88" s="43"/>
      <c r="IF88" s="43"/>
      <c r="IG88" s="43"/>
      <c r="IH88" s="43"/>
      <c r="II88" s="43"/>
      <c r="IJ88" s="43"/>
      <c r="IK88" s="43"/>
      <c r="IL88" s="43"/>
      <c r="IM88" s="43"/>
      <c r="IN88" s="43"/>
      <c r="IO88" s="43"/>
      <c r="IP88" s="43"/>
      <c r="IQ88" s="43"/>
      <c r="IR88" s="43"/>
      <c r="IS88" s="43"/>
      <c r="IT88" s="43"/>
      <c r="IU88" s="43"/>
      <c r="IV88" s="43"/>
    </row>
    <row r="89" spans="1:256" s="29" customFormat="1" x14ac:dyDescent="0.3">
      <c r="A89" s="33" t="s">
        <v>12</v>
      </c>
      <c r="B89" s="115" t="s">
        <v>149</v>
      </c>
      <c r="C89" s="43">
        <v>21838.870000000003</v>
      </c>
      <c r="D89" s="43">
        <v>21239.090000000004</v>
      </c>
      <c r="E89" s="116">
        <v>96081.239999999991</v>
      </c>
      <c r="F89" s="116">
        <v>106777.42</v>
      </c>
      <c r="G89" s="43">
        <v>43331.65</v>
      </c>
      <c r="H89" s="43">
        <v>12489.82</v>
      </c>
      <c r="I89" s="43">
        <v>41732.275000000001</v>
      </c>
      <c r="J89" s="43">
        <v>42106.170000000006</v>
      </c>
      <c r="K89" s="43">
        <f>SUM('X-Monthly'!CO89:CZ89)</f>
        <v>14330.77</v>
      </c>
      <c r="L89" s="43">
        <f>SUM('X-Monthly'!DA89:DL89)</f>
        <v>10415.160000000003</v>
      </c>
      <c r="M89" s="43">
        <f>SUM('X-Monthly'!DM89:DX89)</f>
        <v>48094.6</v>
      </c>
      <c r="N89" s="43">
        <f>SUM('X-Monthly'!DY89:EJ89)</f>
        <v>72978.320000000007</v>
      </c>
      <c r="O89" s="43">
        <f>SUM('X-Monthly'!EK89:EV89)</f>
        <v>58249.52</v>
      </c>
      <c r="P89" s="43">
        <v>85995.87</v>
      </c>
      <c r="Q89" s="43">
        <v>93826.28</v>
      </c>
      <c r="R89" s="43">
        <v>109959.01999999999</v>
      </c>
      <c r="S89" s="43">
        <v>105050.73</v>
      </c>
      <c r="T89" s="43">
        <v>71699.039999999994</v>
      </c>
      <c r="U89" s="43">
        <v>98471.471999999994</v>
      </c>
      <c r="V89" s="43">
        <v>151388.69800000003</v>
      </c>
      <c r="W89" s="43">
        <v>93610.489999999991</v>
      </c>
      <c r="X89" s="43">
        <v>210155.36600000004</v>
      </c>
      <c r="Y89" s="43">
        <v>143532.35</v>
      </c>
      <c r="Z89" s="43">
        <v>141788.83300000001</v>
      </c>
      <c r="AA89" s="43">
        <v>290661.95400000003</v>
      </c>
      <c r="AB89" s="43">
        <v>263114.35599999991</v>
      </c>
      <c r="AC89" s="43">
        <v>384363.54000000004</v>
      </c>
      <c r="AD89" s="43">
        <v>381523.89999999997</v>
      </c>
      <c r="AE89" s="43"/>
      <c r="AF89" s="43"/>
      <c r="AG89" s="43"/>
      <c r="AH89" s="43"/>
      <c r="AI89" s="43"/>
      <c r="AJ89" s="43"/>
      <c r="AK89" s="43"/>
      <c r="AL89" s="43"/>
      <c r="AM89" s="43"/>
      <c r="AN89" s="43"/>
      <c r="AO89" s="43"/>
      <c r="AP89" s="43"/>
      <c r="AQ89" s="43"/>
      <c r="AR89" s="43"/>
      <c r="AS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  <c r="BF89" s="43"/>
      <c r="BG89" s="43"/>
      <c r="BH89" s="43"/>
      <c r="BI89" s="43"/>
      <c r="BJ89" s="43"/>
      <c r="BK89" s="43"/>
      <c r="BL89" s="43"/>
      <c r="BM89" s="43"/>
      <c r="BN89" s="43"/>
      <c r="BO89" s="43"/>
      <c r="BP89" s="43"/>
      <c r="BQ89" s="43"/>
      <c r="BR89" s="43"/>
      <c r="BS89" s="43"/>
      <c r="BT89" s="43"/>
      <c r="BU89" s="43"/>
      <c r="BV89" s="43"/>
      <c r="BW89" s="43"/>
      <c r="BX89" s="43"/>
      <c r="BY89" s="43"/>
      <c r="BZ89" s="43"/>
      <c r="CA89" s="43"/>
      <c r="CB89" s="43"/>
      <c r="CC89" s="43"/>
      <c r="CD89" s="43"/>
      <c r="CE89" s="43"/>
      <c r="CF89" s="43"/>
      <c r="CG89" s="43"/>
      <c r="CH89" s="43"/>
      <c r="CI89" s="43"/>
      <c r="CJ89" s="43"/>
      <c r="CK89" s="43"/>
      <c r="CL89" s="43"/>
      <c r="CM89" s="43"/>
      <c r="CN89" s="43"/>
      <c r="CO89" s="43"/>
      <c r="CP89" s="43"/>
      <c r="CQ89" s="43"/>
      <c r="CR89" s="43"/>
      <c r="CS89" s="43"/>
      <c r="CT89" s="43"/>
      <c r="CU89" s="43"/>
      <c r="CV89" s="43"/>
      <c r="CW89" s="43"/>
      <c r="CX89" s="43"/>
      <c r="CY89" s="43"/>
      <c r="CZ89" s="43"/>
      <c r="DA89" s="43"/>
      <c r="DB89" s="43"/>
      <c r="DC89" s="43"/>
      <c r="DD89" s="43"/>
      <c r="DE89" s="43"/>
      <c r="DF89" s="43"/>
      <c r="DG89" s="43"/>
      <c r="DH89" s="43"/>
      <c r="DI89" s="43"/>
      <c r="DJ89" s="43"/>
      <c r="DK89" s="43"/>
      <c r="DL89" s="43"/>
      <c r="DM89" s="43"/>
      <c r="DN89" s="43"/>
      <c r="DO89" s="43"/>
      <c r="DP89" s="43"/>
      <c r="DQ89" s="43"/>
      <c r="DR89" s="43"/>
      <c r="DS89" s="43"/>
      <c r="DT89" s="43"/>
      <c r="DU89" s="43"/>
      <c r="DV89" s="43"/>
      <c r="DW89" s="43"/>
      <c r="DX89" s="43"/>
      <c r="DY89" s="43"/>
      <c r="DZ89" s="43"/>
      <c r="EA89" s="43"/>
      <c r="EB89" s="43"/>
      <c r="EC89" s="43"/>
      <c r="ED89" s="43"/>
      <c r="EE89" s="43"/>
      <c r="EF89" s="43"/>
      <c r="EG89" s="43"/>
      <c r="EH89" s="43"/>
      <c r="EI89" s="43"/>
      <c r="EJ89" s="43"/>
      <c r="EK89" s="43"/>
      <c r="EL89" s="43"/>
      <c r="EM89" s="43"/>
      <c r="EN89" s="43"/>
      <c r="EO89" s="43"/>
      <c r="EP89" s="43"/>
      <c r="EQ89" s="43"/>
      <c r="ER89" s="43"/>
      <c r="ES89" s="43"/>
      <c r="ET89" s="43"/>
      <c r="EU89" s="43"/>
      <c r="EV89" s="43"/>
      <c r="EW89" s="43"/>
      <c r="EX89" s="43"/>
      <c r="EY89" s="43"/>
      <c r="EZ89" s="43"/>
      <c r="FA89" s="43"/>
      <c r="FB89" s="43"/>
      <c r="FC89" s="43"/>
      <c r="FD89" s="43"/>
      <c r="FE89" s="43"/>
      <c r="FF89" s="43"/>
      <c r="FG89" s="43"/>
      <c r="FH89" s="43"/>
      <c r="FI89" s="43"/>
      <c r="FJ89" s="43"/>
      <c r="FK89" s="43"/>
      <c r="FL89" s="43"/>
      <c r="FM89" s="43"/>
      <c r="FN89" s="43"/>
      <c r="FO89" s="43"/>
      <c r="FP89" s="43"/>
      <c r="FQ89" s="43"/>
      <c r="FR89" s="43"/>
      <c r="FS89" s="43"/>
      <c r="FT89" s="43"/>
      <c r="FU89" s="43"/>
      <c r="FV89" s="43"/>
      <c r="FW89" s="43"/>
      <c r="FX89" s="43"/>
      <c r="FY89" s="43"/>
      <c r="FZ89" s="43"/>
      <c r="GA89" s="43"/>
      <c r="GB89" s="43"/>
      <c r="GC89" s="43"/>
      <c r="GD89" s="43"/>
      <c r="GE89" s="43"/>
      <c r="GF89" s="43"/>
      <c r="GG89" s="43"/>
      <c r="GH89" s="43"/>
      <c r="GI89" s="43"/>
      <c r="GJ89" s="43"/>
      <c r="GK89" s="43"/>
      <c r="GL89" s="43"/>
      <c r="GM89" s="43"/>
      <c r="GN89" s="43"/>
      <c r="GO89" s="43"/>
      <c r="GP89" s="43"/>
      <c r="GQ89" s="43"/>
      <c r="GR89" s="43"/>
      <c r="GS89" s="43"/>
      <c r="GT89" s="43"/>
      <c r="GU89" s="43"/>
      <c r="GV89" s="43"/>
      <c r="GW89" s="43"/>
      <c r="GX89" s="43"/>
      <c r="GY89" s="43"/>
      <c r="GZ89" s="43"/>
      <c r="HA89" s="43"/>
      <c r="HB89" s="43"/>
      <c r="HC89" s="43"/>
      <c r="HD89" s="43"/>
      <c r="HE89" s="43"/>
      <c r="HF89" s="43"/>
      <c r="HG89" s="43"/>
      <c r="HH89" s="43"/>
      <c r="HI89" s="43"/>
      <c r="HJ89" s="43"/>
      <c r="HK89" s="43"/>
      <c r="HL89" s="43"/>
      <c r="HM89" s="43"/>
      <c r="HN89" s="43"/>
      <c r="HO89" s="43"/>
      <c r="HP89" s="43"/>
      <c r="HQ89" s="43"/>
      <c r="HR89" s="43"/>
      <c r="HS89" s="43"/>
      <c r="HT89" s="43"/>
      <c r="HU89" s="43"/>
      <c r="HV89" s="43"/>
      <c r="HW89" s="43"/>
      <c r="HX89" s="43"/>
      <c r="HY89" s="43"/>
      <c r="HZ89" s="43"/>
      <c r="IA89" s="43"/>
      <c r="IB89" s="43"/>
      <c r="IC89" s="43"/>
      <c r="ID89" s="43"/>
      <c r="IE89" s="43"/>
      <c r="IF89" s="43"/>
      <c r="IG89" s="43"/>
      <c r="IH89" s="43"/>
      <c r="II89" s="43"/>
      <c r="IJ89" s="43"/>
      <c r="IK89" s="43"/>
      <c r="IL89" s="43"/>
      <c r="IM89" s="43"/>
      <c r="IN89" s="43"/>
      <c r="IO89" s="43"/>
      <c r="IP89" s="43"/>
      <c r="IQ89" s="43"/>
      <c r="IR89" s="43"/>
      <c r="IS89" s="43"/>
      <c r="IT89" s="43"/>
      <c r="IU89" s="43"/>
      <c r="IV89" s="43"/>
    </row>
    <row r="90" spans="1:256" s="29" customFormat="1" x14ac:dyDescent="0.3">
      <c r="A90" s="33" t="s">
        <v>145</v>
      </c>
      <c r="B90" s="115" t="s">
        <v>149</v>
      </c>
      <c r="C90" s="43">
        <v>0</v>
      </c>
      <c r="D90" s="43">
        <v>0</v>
      </c>
      <c r="E90" s="43">
        <v>0</v>
      </c>
      <c r="F90" s="43">
        <v>0</v>
      </c>
      <c r="G90" s="43">
        <v>0</v>
      </c>
      <c r="H90" s="43">
        <v>0</v>
      </c>
      <c r="I90" s="43">
        <v>0</v>
      </c>
      <c r="J90" s="43">
        <v>0</v>
      </c>
      <c r="K90" s="43">
        <f>SUM('X-Monthly'!CO90:CZ90)</f>
        <v>1978.95</v>
      </c>
      <c r="L90" s="43">
        <f>SUM('X-Monthly'!DA90:DL90)</f>
        <v>0</v>
      </c>
      <c r="M90" s="43">
        <f>SUM('X-Monthly'!DM90:DX90)</f>
        <v>631.47</v>
      </c>
      <c r="N90" s="43">
        <f>SUM('X-Monthly'!DY90:EJ90)</f>
        <v>0</v>
      </c>
      <c r="O90" s="43">
        <f>SUM('X-Monthly'!EK90:EV90)</f>
        <v>0</v>
      </c>
      <c r="P90" s="43">
        <v>0</v>
      </c>
      <c r="Q90" s="43">
        <v>29.5</v>
      </c>
      <c r="R90" s="43">
        <v>286.90000000000003</v>
      </c>
      <c r="S90" s="43">
        <v>134.30000000000001</v>
      </c>
      <c r="T90" s="43">
        <v>14483.039999999999</v>
      </c>
      <c r="U90" s="43">
        <v>11285.759</v>
      </c>
      <c r="V90" s="43">
        <v>5406.5720000000001</v>
      </c>
      <c r="W90" s="43">
        <v>999.15</v>
      </c>
      <c r="X90" s="43">
        <v>13595.904</v>
      </c>
      <c r="Y90" s="43">
        <v>54759.489999999991</v>
      </c>
      <c r="Z90" s="43">
        <v>60296.109000000004</v>
      </c>
      <c r="AA90" s="43">
        <v>62525.148000000001</v>
      </c>
      <c r="AB90" s="43">
        <v>83290.405999999988</v>
      </c>
      <c r="AC90" s="43">
        <v>77990.793000000005</v>
      </c>
      <c r="AD90" s="43">
        <v>93781.553000000014</v>
      </c>
      <c r="AE90" s="43"/>
      <c r="AF90" s="43"/>
      <c r="AG90" s="43"/>
      <c r="AH90" s="43"/>
      <c r="AI90" s="43"/>
      <c r="AJ90" s="43"/>
      <c r="AK90" s="43"/>
      <c r="AL90" s="43"/>
      <c r="AM90" s="43"/>
      <c r="AN90" s="43"/>
      <c r="AO90" s="43"/>
      <c r="AP90" s="43"/>
      <c r="AQ90" s="43"/>
      <c r="AR90" s="43"/>
      <c r="AS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  <c r="BF90" s="43"/>
      <c r="BG90" s="43"/>
      <c r="BH90" s="43"/>
      <c r="BI90" s="43"/>
      <c r="BJ90" s="43"/>
      <c r="BK90" s="43"/>
      <c r="BL90" s="43"/>
      <c r="BM90" s="43"/>
      <c r="BN90" s="43"/>
      <c r="BO90" s="43"/>
      <c r="BP90" s="43"/>
      <c r="BQ90" s="43"/>
      <c r="BR90" s="43"/>
      <c r="BS90" s="43"/>
      <c r="BT90" s="43"/>
      <c r="BU90" s="43"/>
      <c r="BV90" s="43"/>
      <c r="BW90" s="43"/>
      <c r="BX90" s="43"/>
      <c r="BY90" s="43"/>
      <c r="BZ90" s="43"/>
      <c r="CA90" s="43"/>
      <c r="CB90" s="43"/>
      <c r="CC90" s="43"/>
      <c r="CD90" s="43"/>
      <c r="CE90" s="43"/>
      <c r="CF90" s="43"/>
      <c r="CG90" s="43"/>
      <c r="CH90" s="43"/>
      <c r="CI90" s="43"/>
      <c r="CJ90" s="43"/>
      <c r="CK90" s="43"/>
      <c r="CL90" s="43"/>
      <c r="CM90" s="43"/>
      <c r="CN90" s="43"/>
      <c r="CO90" s="43"/>
      <c r="CP90" s="43"/>
      <c r="CQ90" s="43"/>
      <c r="CR90" s="43"/>
      <c r="CS90" s="43"/>
      <c r="CT90" s="43"/>
      <c r="CU90" s="43"/>
      <c r="CV90" s="43"/>
      <c r="CW90" s="43"/>
      <c r="CX90" s="43"/>
      <c r="CY90" s="43"/>
      <c r="CZ90" s="43"/>
      <c r="DA90" s="43"/>
      <c r="DB90" s="43"/>
      <c r="DC90" s="43"/>
      <c r="DD90" s="43"/>
      <c r="DE90" s="43"/>
      <c r="DF90" s="43"/>
      <c r="DG90" s="43"/>
      <c r="DH90" s="43"/>
      <c r="DI90" s="43"/>
      <c r="DJ90" s="43"/>
      <c r="DK90" s="43"/>
      <c r="DL90" s="43"/>
      <c r="DM90" s="43"/>
      <c r="DN90" s="43"/>
      <c r="DO90" s="43"/>
      <c r="DP90" s="43"/>
      <c r="DQ90" s="43"/>
      <c r="DR90" s="43"/>
      <c r="DS90" s="43"/>
      <c r="DT90" s="43"/>
      <c r="DU90" s="43"/>
      <c r="DV90" s="43"/>
      <c r="DW90" s="43"/>
      <c r="DX90" s="43"/>
      <c r="DY90" s="43"/>
      <c r="DZ90" s="43"/>
      <c r="EA90" s="43"/>
      <c r="EB90" s="43"/>
      <c r="EC90" s="43"/>
      <c r="ED90" s="43"/>
      <c r="EE90" s="43"/>
      <c r="EF90" s="43"/>
      <c r="EG90" s="43"/>
      <c r="EH90" s="43"/>
      <c r="EI90" s="43"/>
      <c r="EJ90" s="43"/>
      <c r="EK90" s="43"/>
      <c r="EL90" s="43"/>
      <c r="EM90" s="43"/>
      <c r="EN90" s="43"/>
      <c r="EO90" s="43"/>
      <c r="EP90" s="43"/>
      <c r="EQ90" s="43"/>
      <c r="ER90" s="43"/>
      <c r="ES90" s="43"/>
      <c r="ET90" s="43"/>
      <c r="EU90" s="43"/>
      <c r="EV90" s="43"/>
      <c r="EW90" s="43"/>
      <c r="EX90" s="43"/>
      <c r="EY90" s="43"/>
      <c r="EZ90" s="43"/>
      <c r="FA90" s="43"/>
      <c r="FB90" s="43"/>
      <c r="FC90" s="43"/>
      <c r="FD90" s="43"/>
      <c r="FE90" s="43"/>
      <c r="FF90" s="43"/>
      <c r="FG90" s="43"/>
      <c r="FH90" s="43"/>
      <c r="FI90" s="43"/>
      <c r="FJ90" s="43"/>
      <c r="FK90" s="43"/>
      <c r="FL90" s="43"/>
      <c r="FM90" s="43"/>
      <c r="FN90" s="43"/>
      <c r="FO90" s="43"/>
      <c r="FP90" s="43"/>
      <c r="FQ90" s="43"/>
      <c r="FR90" s="43"/>
      <c r="FS90" s="43"/>
      <c r="FT90" s="43"/>
      <c r="FU90" s="43"/>
      <c r="FV90" s="43"/>
      <c r="FW90" s="43"/>
      <c r="FX90" s="43"/>
      <c r="FY90" s="43"/>
      <c r="FZ90" s="43"/>
      <c r="GA90" s="43"/>
      <c r="GB90" s="43"/>
      <c r="GC90" s="43"/>
      <c r="GD90" s="43"/>
      <c r="GE90" s="43"/>
      <c r="GF90" s="43"/>
      <c r="GG90" s="43"/>
      <c r="GH90" s="43"/>
      <c r="GI90" s="43"/>
      <c r="GJ90" s="43"/>
      <c r="GK90" s="43"/>
      <c r="GL90" s="43"/>
      <c r="GM90" s="43"/>
      <c r="GN90" s="43"/>
      <c r="GO90" s="43"/>
      <c r="GP90" s="43"/>
      <c r="GQ90" s="43"/>
      <c r="GR90" s="43"/>
      <c r="GS90" s="43"/>
      <c r="GT90" s="43"/>
      <c r="GU90" s="43"/>
      <c r="GV90" s="43"/>
      <c r="GW90" s="43"/>
      <c r="GX90" s="43"/>
      <c r="GY90" s="43"/>
      <c r="GZ90" s="43"/>
      <c r="HA90" s="43"/>
      <c r="HB90" s="43"/>
      <c r="HC90" s="43"/>
      <c r="HD90" s="43"/>
      <c r="HE90" s="43"/>
      <c r="HF90" s="43"/>
      <c r="HG90" s="43"/>
      <c r="HH90" s="43"/>
      <c r="HI90" s="43"/>
      <c r="HJ90" s="43"/>
      <c r="HK90" s="43"/>
      <c r="HL90" s="43"/>
      <c r="HM90" s="43"/>
      <c r="HN90" s="43"/>
      <c r="HO90" s="43"/>
      <c r="HP90" s="43"/>
      <c r="HQ90" s="43"/>
      <c r="HR90" s="43"/>
      <c r="HS90" s="43"/>
      <c r="HT90" s="43"/>
      <c r="HU90" s="43"/>
      <c r="HV90" s="43"/>
      <c r="HW90" s="43"/>
      <c r="HX90" s="43"/>
      <c r="HY90" s="43"/>
      <c r="HZ90" s="43"/>
      <c r="IA90" s="43"/>
      <c r="IB90" s="43"/>
      <c r="IC90" s="43"/>
      <c r="ID90" s="43"/>
      <c r="IE90" s="43"/>
      <c r="IF90" s="43"/>
      <c r="IG90" s="43"/>
      <c r="IH90" s="43"/>
      <c r="II90" s="43"/>
      <c r="IJ90" s="43"/>
      <c r="IK90" s="43"/>
      <c r="IL90" s="43"/>
      <c r="IM90" s="43"/>
      <c r="IN90" s="43"/>
      <c r="IO90" s="43"/>
      <c r="IP90" s="43"/>
      <c r="IQ90" s="43"/>
      <c r="IR90" s="43"/>
      <c r="IS90" s="43"/>
      <c r="IT90" s="43"/>
      <c r="IU90" s="43"/>
      <c r="IV90" s="43"/>
    </row>
    <row r="91" spans="1:256" s="29" customFormat="1" x14ac:dyDescent="0.3">
      <c r="A91" s="33" t="s">
        <v>96</v>
      </c>
      <c r="B91" s="115" t="s">
        <v>149</v>
      </c>
      <c r="C91" s="43">
        <v>1207.76</v>
      </c>
      <c r="D91" s="43">
        <v>1929.09</v>
      </c>
      <c r="E91" s="43">
        <v>4442.18</v>
      </c>
      <c r="F91" s="43">
        <v>6661.34</v>
      </c>
      <c r="G91" s="43">
        <v>12384.15</v>
      </c>
      <c r="H91" s="43">
        <v>10775.900000000001</v>
      </c>
      <c r="I91" s="43">
        <v>10427.639699999998</v>
      </c>
      <c r="J91" s="43">
        <v>13671.72</v>
      </c>
      <c r="K91" s="43">
        <f>SUM('X-Monthly'!CO91:CZ91)</f>
        <v>9884.4599999999991</v>
      </c>
      <c r="L91" s="43">
        <f>SUM('X-Monthly'!DA91:DL91)</f>
        <v>11187.571000000002</v>
      </c>
      <c r="M91" s="43">
        <f>SUM('X-Monthly'!DM91:DX91)</f>
        <v>28163.399999999994</v>
      </c>
      <c r="N91" s="43">
        <f>SUM('X-Monthly'!DY91:EJ91)</f>
        <v>24654.610000000004</v>
      </c>
      <c r="O91" s="43">
        <f>SUM('X-Monthly'!EK91:EV91)</f>
        <v>23659.48</v>
      </c>
      <c r="P91" s="43">
        <v>31609.919999999998</v>
      </c>
      <c r="Q91" s="43">
        <v>35963.169999999991</v>
      </c>
      <c r="R91" s="43">
        <v>36899.67</v>
      </c>
      <c r="S91" s="43">
        <v>31599.129999999994</v>
      </c>
      <c r="T91" s="43">
        <v>27453.940000000002</v>
      </c>
      <c r="U91" s="43">
        <v>20545.136999999999</v>
      </c>
      <c r="V91" s="43">
        <v>23618.097261955027</v>
      </c>
      <c r="W91" s="43">
        <v>19716.793999999998</v>
      </c>
      <c r="X91" s="43">
        <v>22014.095800000003</v>
      </c>
      <c r="Y91" s="43">
        <v>18496.12</v>
      </c>
      <c r="Z91" s="43">
        <v>18076.578000000001</v>
      </c>
      <c r="AA91" s="43">
        <v>18407.563000000002</v>
      </c>
      <c r="AB91" s="43">
        <v>19546.071999999996</v>
      </c>
      <c r="AC91" s="43">
        <v>19222.2732</v>
      </c>
      <c r="AD91" s="43">
        <v>24544.554729999996</v>
      </c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  <c r="BF91" s="43"/>
      <c r="BG91" s="43"/>
      <c r="BH91" s="43"/>
      <c r="BI91" s="43"/>
      <c r="BJ91" s="43"/>
      <c r="BK91" s="43"/>
      <c r="BL91" s="43"/>
      <c r="BM91" s="43"/>
      <c r="BN91" s="43"/>
      <c r="BO91" s="43"/>
      <c r="BP91" s="43"/>
      <c r="BQ91" s="43"/>
      <c r="BR91" s="43"/>
      <c r="BS91" s="43"/>
      <c r="BT91" s="43"/>
      <c r="BU91" s="43"/>
      <c r="BV91" s="43"/>
      <c r="BW91" s="43"/>
      <c r="BX91" s="43"/>
      <c r="BY91" s="43"/>
      <c r="BZ91" s="43"/>
      <c r="CA91" s="43"/>
      <c r="CB91" s="43"/>
      <c r="CC91" s="43"/>
      <c r="CD91" s="43"/>
      <c r="CE91" s="43"/>
      <c r="CF91" s="43"/>
      <c r="CG91" s="43"/>
      <c r="CH91" s="43"/>
      <c r="CI91" s="43"/>
      <c r="CJ91" s="43"/>
      <c r="CK91" s="43"/>
      <c r="CL91" s="43"/>
      <c r="CM91" s="43"/>
      <c r="CN91" s="43"/>
      <c r="CO91" s="43"/>
      <c r="CP91" s="43"/>
      <c r="CQ91" s="43"/>
      <c r="CR91" s="43"/>
      <c r="CS91" s="43"/>
      <c r="CT91" s="43"/>
      <c r="CU91" s="43"/>
      <c r="CV91" s="43"/>
      <c r="CW91" s="43"/>
      <c r="CX91" s="43"/>
      <c r="CY91" s="43"/>
      <c r="CZ91" s="43"/>
      <c r="DA91" s="43"/>
      <c r="DB91" s="43"/>
      <c r="DC91" s="43"/>
      <c r="DD91" s="43"/>
      <c r="DE91" s="43"/>
      <c r="DF91" s="43"/>
      <c r="DG91" s="43"/>
      <c r="DH91" s="43"/>
      <c r="DI91" s="43"/>
      <c r="DJ91" s="43"/>
      <c r="DK91" s="43"/>
      <c r="DL91" s="43"/>
      <c r="DM91" s="43"/>
      <c r="DN91" s="43"/>
      <c r="DO91" s="43"/>
      <c r="DP91" s="43"/>
      <c r="DQ91" s="43"/>
      <c r="DR91" s="43"/>
      <c r="DS91" s="43"/>
      <c r="DT91" s="43"/>
      <c r="DU91" s="43"/>
      <c r="DV91" s="43"/>
      <c r="DW91" s="43"/>
      <c r="DX91" s="43"/>
      <c r="DY91" s="43"/>
      <c r="DZ91" s="43"/>
      <c r="EA91" s="43"/>
      <c r="EB91" s="43"/>
      <c r="EC91" s="43"/>
      <c r="ED91" s="43"/>
      <c r="EE91" s="43"/>
      <c r="EF91" s="43"/>
      <c r="EG91" s="43"/>
      <c r="EH91" s="43"/>
      <c r="EI91" s="43"/>
      <c r="EJ91" s="43"/>
      <c r="EK91" s="43"/>
      <c r="EL91" s="43"/>
      <c r="EM91" s="43"/>
      <c r="EN91" s="43"/>
      <c r="EO91" s="43"/>
      <c r="EP91" s="43"/>
      <c r="EQ91" s="43"/>
      <c r="ER91" s="43"/>
      <c r="ES91" s="43"/>
      <c r="ET91" s="43"/>
      <c r="EU91" s="43"/>
      <c r="EV91" s="43"/>
      <c r="EW91" s="43"/>
      <c r="EX91" s="43"/>
      <c r="EY91" s="43"/>
      <c r="EZ91" s="43"/>
      <c r="FA91" s="43"/>
      <c r="FB91" s="43"/>
      <c r="FC91" s="43"/>
      <c r="FD91" s="43"/>
      <c r="FE91" s="43"/>
      <c r="FF91" s="43"/>
      <c r="FG91" s="43"/>
      <c r="FH91" s="43"/>
      <c r="FI91" s="43"/>
      <c r="FJ91" s="43"/>
      <c r="FK91" s="43"/>
      <c r="FL91" s="43"/>
      <c r="FM91" s="43"/>
      <c r="FN91" s="43"/>
      <c r="FO91" s="43"/>
      <c r="FP91" s="43"/>
      <c r="FQ91" s="43"/>
      <c r="FR91" s="43"/>
      <c r="FS91" s="43"/>
      <c r="FT91" s="43"/>
      <c r="FU91" s="43"/>
      <c r="FV91" s="43"/>
      <c r="FW91" s="43"/>
      <c r="FX91" s="43"/>
      <c r="FY91" s="43"/>
      <c r="FZ91" s="43"/>
      <c r="GA91" s="43"/>
      <c r="GB91" s="43"/>
      <c r="GC91" s="43"/>
      <c r="GD91" s="43"/>
      <c r="GE91" s="43"/>
      <c r="GF91" s="43"/>
      <c r="GG91" s="43"/>
      <c r="GH91" s="43"/>
      <c r="GI91" s="43"/>
      <c r="GJ91" s="43"/>
      <c r="GK91" s="43"/>
      <c r="GL91" s="43"/>
      <c r="GM91" s="43"/>
      <c r="GN91" s="43"/>
      <c r="GO91" s="43"/>
      <c r="GP91" s="43"/>
      <c r="GQ91" s="43"/>
      <c r="GR91" s="43"/>
      <c r="GS91" s="43"/>
      <c r="GT91" s="43"/>
      <c r="GU91" s="43"/>
      <c r="GV91" s="43"/>
      <c r="GW91" s="43"/>
      <c r="GX91" s="43"/>
      <c r="GY91" s="43"/>
      <c r="GZ91" s="43"/>
      <c r="HA91" s="43"/>
      <c r="HB91" s="43"/>
      <c r="HC91" s="43"/>
      <c r="HD91" s="43"/>
      <c r="HE91" s="43"/>
      <c r="HF91" s="43"/>
      <c r="HG91" s="43"/>
      <c r="HH91" s="43"/>
      <c r="HI91" s="43"/>
      <c r="HJ91" s="43"/>
      <c r="HK91" s="43"/>
      <c r="HL91" s="43"/>
      <c r="HM91" s="43"/>
      <c r="HN91" s="43"/>
      <c r="HO91" s="43"/>
      <c r="HP91" s="43"/>
      <c r="HQ91" s="43"/>
      <c r="HR91" s="43"/>
      <c r="HS91" s="43"/>
      <c r="HT91" s="43"/>
      <c r="HU91" s="43"/>
      <c r="HV91" s="43"/>
      <c r="HW91" s="43"/>
      <c r="HX91" s="43"/>
      <c r="HY91" s="43"/>
      <c r="HZ91" s="43"/>
      <c r="IA91" s="43"/>
      <c r="IB91" s="43"/>
      <c r="IC91" s="43"/>
      <c r="ID91" s="43"/>
      <c r="IE91" s="43"/>
      <c r="IF91" s="43"/>
      <c r="IG91" s="43"/>
      <c r="IH91" s="43"/>
      <c r="II91" s="43"/>
      <c r="IJ91" s="43"/>
      <c r="IK91" s="43"/>
      <c r="IL91" s="43"/>
      <c r="IM91" s="43"/>
      <c r="IN91" s="43"/>
      <c r="IO91" s="43"/>
      <c r="IP91" s="43"/>
      <c r="IQ91" s="43"/>
      <c r="IR91" s="43"/>
      <c r="IS91" s="43"/>
      <c r="IT91" s="43"/>
      <c r="IU91" s="43"/>
      <c r="IV91" s="43"/>
    </row>
    <row r="92" spans="1:256" s="29" customFormat="1" x14ac:dyDescent="0.3">
      <c r="A92" s="33" t="s">
        <v>29</v>
      </c>
      <c r="B92" s="115" t="s">
        <v>149</v>
      </c>
      <c r="C92" s="43">
        <v>75.62</v>
      </c>
      <c r="D92" s="43">
        <v>116.32000000000001</v>
      </c>
      <c r="E92" s="43">
        <v>258.19</v>
      </c>
      <c r="F92" s="43">
        <v>1788.49</v>
      </c>
      <c r="G92" s="43">
        <v>776.40999999999985</v>
      </c>
      <c r="H92" s="43">
        <v>2342</v>
      </c>
      <c r="I92" s="43">
        <v>2152.2901999999999</v>
      </c>
      <c r="J92" s="43">
        <v>2924.4000000000005</v>
      </c>
      <c r="K92" s="43">
        <f>SUM('X-Monthly'!CO92:CZ92)</f>
        <v>9276.0399999999991</v>
      </c>
      <c r="L92" s="43">
        <f>SUM('X-Monthly'!DA92:DL92)</f>
        <v>6191.6620000000003</v>
      </c>
      <c r="M92" s="43">
        <f>SUM('X-Monthly'!DM92:DX92)</f>
        <v>4797.62</v>
      </c>
      <c r="N92" s="43">
        <f>SUM('X-Monthly'!DY92:EJ92)</f>
        <v>7720.4799999999987</v>
      </c>
      <c r="O92" s="43">
        <f>SUM('X-Monthly'!EK92:EV92)</f>
        <v>11502.004000000001</v>
      </c>
      <c r="P92" s="43">
        <v>16519.839999999997</v>
      </c>
      <c r="Q92" s="43">
        <v>146517.49</v>
      </c>
      <c r="R92" s="43">
        <v>10401.980000000001</v>
      </c>
      <c r="S92" s="43">
        <v>21382.679999999997</v>
      </c>
      <c r="T92" s="43">
        <v>16585.7</v>
      </c>
      <c r="U92" s="43">
        <v>16392.259999999998</v>
      </c>
      <c r="V92" s="43">
        <v>13304.522999999997</v>
      </c>
      <c r="W92" s="43">
        <v>12024.529999999999</v>
      </c>
      <c r="X92" s="43">
        <v>10621.495900000002</v>
      </c>
      <c r="Y92" s="43">
        <v>16570.890000000003</v>
      </c>
      <c r="Z92" s="43">
        <v>27915.641</v>
      </c>
      <c r="AA92" s="43">
        <v>57358.206999999995</v>
      </c>
      <c r="AB92" s="43">
        <v>82357.613999999987</v>
      </c>
      <c r="AC92" s="43">
        <v>97027.644</v>
      </c>
      <c r="AD92" s="43">
        <v>95214.910919999995</v>
      </c>
      <c r="AE92" s="43"/>
      <c r="AF92" s="43"/>
      <c r="AG92" s="43"/>
      <c r="AH92" s="43"/>
      <c r="AI92" s="43"/>
      <c r="AJ92" s="43"/>
      <c r="AK92" s="43"/>
      <c r="AL92" s="43"/>
      <c r="AM92" s="43"/>
      <c r="AN92" s="43"/>
      <c r="AO92" s="43"/>
      <c r="AP92" s="43"/>
      <c r="AQ92" s="43"/>
      <c r="AR92" s="43"/>
      <c r="AS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  <c r="BF92" s="43"/>
      <c r="BG92" s="43"/>
      <c r="BH92" s="43"/>
      <c r="BI92" s="43"/>
      <c r="BJ92" s="43"/>
      <c r="BK92" s="43"/>
      <c r="BL92" s="43"/>
      <c r="BM92" s="43"/>
      <c r="BN92" s="43"/>
      <c r="BO92" s="43"/>
      <c r="BP92" s="43"/>
      <c r="BQ92" s="43"/>
      <c r="BR92" s="43"/>
      <c r="BS92" s="43"/>
      <c r="BT92" s="43"/>
      <c r="BU92" s="43"/>
      <c r="BV92" s="43"/>
      <c r="BW92" s="43"/>
      <c r="BX92" s="43"/>
      <c r="BY92" s="43"/>
      <c r="BZ92" s="43"/>
      <c r="CA92" s="43"/>
      <c r="CB92" s="43"/>
      <c r="CC92" s="43"/>
      <c r="CD92" s="43"/>
      <c r="CE92" s="43"/>
      <c r="CF92" s="43"/>
      <c r="CG92" s="43"/>
      <c r="CH92" s="43"/>
      <c r="CI92" s="43"/>
      <c r="CJ92" s="43"/>
      <c r="CK92" s="43"/>
      <c r="CL92" s="43"/>
      <c r="CM92" s="43"/>
      <c r="CN92" s="43"/>
      <c r="CO92" s="43"/>
      <c r="CP92" s="43"/>
      <c r="CQ92" s="43"/>
      <c r="CR92" s="43"/>
      <c r="CS92" s="43"/>
      <c r="CT92" s="43"/>
      <c r="CU92" s="43"/>
      <c r="CV92" s="43"/>
      <c r="CW92" s="43"/>
      <c r="CX92" s="43"/>
      <c r="CY92" s="43"/>
      <c r="CZ92" s="43"/>
      <c r="DA92" s="43"/>
      <c r="DB92" s="43"/>
      <c r="DC92" s="43"/>
      <c r="DD92" s="43"/>
      <c r="DE92" s="43"/>
      <c r="DF92" s="43"/>
      <c r="DG92" s="43"/>
      <c r="DH92" s="43"/>
      <c r="DI92" s="43"/>
      <c r="DJ92" s="43"/>
      <c r="DK92" s="43"/>
      <c r="DL92" s="43"/>
      <c r="DM92" s="43"/>
      <c r="DN92" s="43"/>
      <c r="DO92" s="43"/>
      <c r="DP92" s="43"/>
      <c r="DQ92" s="43"/>
      <c r="DR92" s="43"/>
      <c r="DS92" s="43"/>
      <c r="DT92" s="43"/>
      <c r="DU92" s="43"/>
      <c r="DV92" s="43"/>
      <c r="DW92" s="43"/>
      <c r="DX92" s="43"/>
      <c r="DY92" s="43"/>
      <c r="DZ92" s="43"/>
      <c r="EA92" s="43"/>
      <c r="EB92" s="43"/>
      <c r="EC92" s="43"/>
      <c r="ED92" s="43"/>
      <c r="EE92" s="43"/>
      <c r="EF92" s="43"/>
      <c r="EG92" s="43"/>
      <c r="EH92" s="43"/>
      <c r="EI92" s="43"/>
      <c r="EJ92" s="43"/>
      <c r="EK92" s="43"/>
      <c r="EL92" s="43"/>
      <c r="EM92" s="43"/>
      <c r="EN92" s="43"/>
      <c r="EO92" s="43"/>
      <c r="EP92" s="43"/>
      <c r="EQ92" s="43"/>
      <c r="ER92" s="43"/>
      <c r="ES92" s="43"/>
      <c r="ET92" s="43"/>
      <c r="EU92" s="43"/>
      <c r="EV92" s="43"/>
      <c r="EW92" s="43"/>
      <c r="EX92" s="43"/>
      <c r="EY92" s="43"/>
      <c r="EZ92" s="43"/>
      <c r="FA92" s="43"/>
      <c r="FB92" s="43"/>
      <c r="FC92" s="43"/>
      <c r="FD92" s="43"/>
      <c r="FE92" s="43"/>
      <c r="FF92" s="43"/>
      <c r="FG92" s="43"/>
      <c r="FH92" s="43"/>
      <c r="FI92" s="43"/>
      <c r="FJ92" s="43"/>
      <c r="FK92" s="43"/>
      <c r="FL92" s="43"/>
      <c r="FM92" s="43"/>
      <c r="FN92" s="43"/>
      <c r="FO92" s="43"/>
      <c r="FP92" s="43"/>
      <c r="FQ92" s="43"/>
      <c r="FR92" s="43"/>
      <c r="FS92" s="43"/>
      <c r="FT92" s="43"/>
      <c r="FU92" s="43"/>
      <c r="FV92" s="43"/>
      <c r="FW92" s="43"/>
      <c r="FX92" s="43"/>
      <c r="FY92" s="43"/>
      <c r="FZ92" s="43"/>
      <c r="GA92" s="43"/>
      <c r="GB92" s="43"/>
      <c r="GC92" s="43"/>
      <c r="GD92" s="43"/>
      <c r="GE92" s="43"/>
      <c r="GF92" s="43"/>
      <c r="GG92" s="43"/>
      <c r="GH92" s="43"/>
      <c r="GI92" s="43"/>
      <c r="GJ92" s="43"/>
      <c r="GK92" s="43"/>
      <c r="GL92" s="43"/>
      <c r="GM92" s="43"/>
      <c r="GN92" s="43"/>
      <c r="GO92" s="43"/>
      <c r="GP92" s="43"/>
      <c r="GQ92" s="43"/>
      <c r="GR92" s="43"/>
      <c r="GS92" s="43"/>
      <c r="GT92" s="43"/>
      <c r="GU92" s="43"/>
      <c r="GV92" s="43"/>
      <c r="GW92" s="43"/>
      <c r="GX92" s="43"/>
      <c r="GY92" s="43"/>
      <c r="GZ92" s="43"/>
      <c r="HA92" s="43"/>
      <c r="HB92" s="43"/>
      <c r="HC92" s="43"/>
      <c r="HD92" s="43"/>
      <c r="HE92" s="43"/>
      <c r="HF92" s="43"/>
      <c r="HG92" s="43"/>
      <c r="HH92" s="43"/>
      <c r="HI92" s="43"/>
      <c r="HJ92" s="43"/>
      <c r="HK92" s="43"/>
      <c r="HL92" s="43"/>
      <c r="HM92" s="43"/>
      <c r="HN92" s="43"/>
      <c r="HO92" s="43"/>
      <c r="HP92" s="43"/>
      <c r="HQ92" s="43"/>
      <c r="HR92" s="43"/>
      <c r="HS92" s="43"/>
      <c r="HT92" s="43"/>
      <c r="HU92" s="43"/>
      <c r="HV92" s="43"/>
      <c r="HW92" s="43"/>
      <c r="HX92" s="43"/>
      <c r="HY92" s="43"/>
      <c r="HZ92" s="43"/>
      <c r="IA92" s="43"/>
      <c r="IB92" s="43"/>
      <c r="IC92" s="43"/>
      <c r="ID92" s="43"/>
      <c r="IE92" s="43"/>
      <c r="IF92" s="43"/>
      <c r="IG92" s="43"/>
      <c r="IH92" s="43"/>
      <c r="II92" s="43"/>
      <c r="IJ92" s="43"/>
      <c r="IK92" s="43"/>
      <c r="IL92" s="43"/>
      <c r="IM92" s="43"/>
      <c r="IN92" s="43"/>
      <c r="IO92" s="43"/>
      <c r="IP92" s="43"/>
      <c r="IQ92" s="43"/>
      <c r="IR92" s="43"/>
      <c r="IS92" s="43"/>
      <c r="IT92" s="43"/>
      <c r="IU92" s="43"/>
      <c r="IV92" s="43"/>
    </row>
    <row r="93" spans="1:256" s="29" customFormat="1" x14ac:dyDescent="0.3">
      <c r="A93" s="33" t="s">
        <v>97</v>
      </c>
      <c r="B93" s="115" t="s">
        <v>149</v>
      </c>
      <c r="C93" s="43">
        <v>689.94999999999993</v>
      </c>
      <c r="D93" s="43">
        <v>3185.6200000000003</v>
      </c>
      <c r="E93" s="43">
        <v>5575.2699999999995</v>
      </c>
      <c r="F93" s="43">
        <v>6161.2300000000005</v>
      </c>
      <c r="G93" s="43">
        <v>37343.96</v>
      </c>
      <c r="H93" s="43">
        <v>4581.8100000000004</v>
      </c>
      <c r="I93" s="43">
        <v>6482.9969999999994</v>
      </c>
      <c r="J93" s="43">
        <v>9001.18</v>
      </c>
      <c r="K93" s="43">
        <f>SUM('X-Monthly'!CO93:CZ93)</f>
        <v>7305.45</v>
      </c>
      <c r="L93" s="43">
        <f>SUM('X-Monthly'!DA93:DL93)</f>
        <v>13714.969999999998</v>
      </c>
      <c r="M93" s="43">
        <f>SUM('X-Monthly'!DM93:DX93)</f>
        <v>20799.189999999999</v>
      </c>
      <c r="N93" s="43">
        <f>SUM('X-Monthly'!DY93:EJ93)</f>
        <v>20892.21</v>
      </c>
      <c r="O93" s="43">
        <f>SUM('X-Monthly'!EK93:EV93)</f>
        <v>19806.660000000003</v>
      </c>
      <c r="P93" s="43">
        <v>19378.53</v>
      </c>
      <c r="Q93" s="43">
        <v>27208.600000000002</v>
      </c>
      <c r="R93" s="43">
        <v>24041.859999999997</v>
      </c>
      <c r="S93" s="43">
        <v>22141.45</v>
      </c>
      <c r="T93" s="43">
        <v>12778.599999999999</v>
      </c>
      <c r="U93" s="43">
        <v>5452.7199999999993</v>
      </c>
      <c r="V93" s="43">
        <v>11356.51619461358</v>
      </c>
      <c r="W93" s="43">
        <v>22008.641</v>
      </c>
      <c r="X93" s="43">
        <v>23246.704999999998</v>
      </c>
      <c r="Y93" s="43">
        <v>21261.062999999998</v>
      </c>
      <c r="Z93" s="43">
        <v>32588.201999999997</v>
      </c>
      <c r="AA93" s="43">
        <v>29884.324000000001</v>
      </c>
      <c r="AB93" s="43">
        <v>24038.415000000001</v>
      </c>
      <c r="AC93" s="43">
        <v>26303.065000000002</v>
      </c>
      <c r="AD93" s="43">
        <v>23790.998270000004</v>
      </c>
      <c r="AE93" s="43"/>
      <c r="AF93" s="43"/>
      <c r="AG93" s="43"/>
      <c r="AH93" s="43"/>
      <c r="AI93" s="43"/>
      <c r="AJ93" s="43"/>
      <c r="AK93" s="43"/>
      <c r="AL93" s="43"/>
      <c r="AM93" s="43"/>
      <c r="AN93" s="43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3"/>
      <c r="BK93" s="43"/>
      <c r="BL93" s="43"/>
      <c r="BM93" s="43"/>
      <c r="BN93" s="43"/>
      <c r="BO93" s="43"/>
      <c r="BP93" s="43"/>
      <c r="BQ93" s="43"/>
      <c r="BR93" s="43"/>
      <c r="BS93" s="43"/>
      <c r="BT93" s="43"/>
      <c r="BU93" s="43"/>
      <c r="BV93" s="43"/>
      <c r="BW93" s="43"/>
      <c r="BX93" s="43"/>
      <c r="BY93" s="43"/>
      <c r="BZ93" s="43"/>
      <c r="CA93" s="43"/>
      <c r="CB93" s="43"/>
      <c r="CC93" s="43"/>
      <c r="CD93" s="43"/>
      <c r="CE93" s="43"/>
      <c r="CF93" s="43"/>
      <c r="CG93" s="43"/>
      <c r="CH93" s="43"/>
      <c r="CI93" s="43"/>
      <c r="CJ93" s="43"/>
      <c r="CK93" s="43"/>
      <c r="CL93" s="43"/>
      <c r="CM93" s="43"/>
      <c r="CN93" s="43"/>
      <c r="CO93" s="43"/>
      <c r="CP93" s="43"/>
      <c r="CQ93" s="43"/>
      <c r="CR93" s="43"/>
      <c r="CS93" s="43"/>
      <c r="CT93" s="43"/>
      <c r="CU93" s="43"/>
      <c r="CV93" s="43"/>
      <c r="CW93" s="43"/>
      <c r="CX93" s="43"/>
      <c r="CY93" s="43"/>
      <c r="CZ93" s="43"/>
      <c r="DA93" s="43"/>
      <c r="DB93" s="43"/>
      <c r="DC93" s="43"/>
      <c r="DD93" s="43"/>
      <c r="DE93" s="43"/>
      <c r="DF93" s="43"/>
      <c r="DG93" s="43"/>
      <c r="DH93" s="43"/>
      <c r="DI93" s="43"/>
      <c r="DJ93" s="43"/>
      <c r="DK93" s="43"/>
      <c r="DL93" s="43"/>
      <c r="DM93" s="43"/>
      <c r="DN93" s="43"/>
      <c r="DO93" s="43"/>
      <c r="DP93" s="43"/>
      <c r="DQ93" s="43"/>
      <c r="DR93" s="43"/>
      <c r="DS93" s="43"/>
      <c r="DT93" s="43"/>
      <c r="DU93" s="43"/>
      <c r="DV93" s="43"/>
      <c r="DW93" s="43"/>
      <c r="DX93" s="43"/>
      <c r="DY93" s="43"/>
      <c r="DZ93" s="43"/>
      <c r="EA93" s="43"/>
      <c r="EB93" s="43"/>
      <c r="EC93" s="43"/>
      <c r="ED93" s="43"/>
      <c r="EE93" s="43"/>
      <c r="EF93" s="43"/>
      <c r="EG93" s="43"/>
      <c r="EH93" s="43"/>
      <c r="EI93" s="43"/>
      <c r="EJ93" s="43"/>
      <c r="EK93" s="43"/>
      <c r="EL93" s="43"/>
      <c r="EM93" s="43"/>
      <c r="EN93" s="43"/>
      <c r="EO93" s="43"/>
      <c r="EP93" s="43"/>
      <c r="EQ93" s="43"/>
      <c r="ER93" s="43"/>
      <c r="ES93" s="43"/>
      <c r="ET93" s="43"/>
      <c r="EU93" s="43"/>
      <c r="EV93" s="43"/>
      <c r="EW93" s="43"/>
      <c r="EX93" s="43"/>
      <c r="EY93" s="43"/>
      <c r="EZ93" s="43"/>
      <c r="FA93" s="43"/>
      <c r="FB93" s="43"/>
      <c r="FC93" s="43"/>
      <c r="FD93" s="43"/>
      <c r="FE93" s="43"/>
      <c r="FF93" s="43"/>
      <c r="FG93" s="43"/>
      <c r="FH93" s="43"/>
      <c r="FI93" s="43"/>
      <c r="FJ93" s="43"/>
      <c r="FK93" s="43"/>
      <c r="FL93" s="43"/>
      <c r="FM93" s="43"/>
      <c r="FN93" s="43"/>
      <c r="FO93" s="43"/>
      <c r="FP93" s="43"/>
      <c r="FQ93" s="43"/>
      <c r="FR93" s="43"/>
      <c r="FS93" s="43"/>
      <c r="FT93" s="43"/>
      <c r="FU93" s="43"/>
      <c r="FV93" s="43"/>
      <c r="FW93" s="43"/>
      <c r="FX93" s="43"/>
      <c r="FY93" s="43"/>
      <c r="FZ93" s="43"/>
      <c r="GA93" s="43"/>
      <c r="GB93" s="43"/>
      <c r="GC93" s="43"/>
      <c r="GD93" s="43"/>
      <c r="GE93" s="43"/>
      <c r="GF93" s="43"/>
      <c r="GG93" s="43"/>
      <c r="GH93" s="43"/>
      <c r="GI93" s="43"/>
      <c r="GJ93" s="43"/>
      <c r="GK93" s="43"/>
      <c r="GL93" s="43"/>
      <c r="GM93" s="43"/>
      <c r="GN93" s="43"/>
      <c r="GO93" s="43"/>
      <c r="GP93" s="43"/>
      <c r="GQ93" s="43"/>
      <c r="GR93" s="43"/>
      <c r="GS93" s="43"/>
      <c r="GT93" s="43"/>
      <c r="GU93" s="43"/>
      <c r="GV93" s="43"/>
      <c r="GW93" s="43"/>
      <c r="GX93" s="43"/>
      <c r="GY93" s="43"/>
      <c r="GZ93" s="43"/>
      <c r="HA93" s="43"/>
      <c r="HB93" s="43"/>
      <c r="HC93" s="43"/>
      <c r="HD93" s="43"/>
      <c r="HE93" s="43"/>
      <c r="HF93" s="43"/>
      <c r="HG93" s="43"/>
      <c r="HH93" s="43"/>
      <c r="HI93" s="43"/>
      <c r="HJ93" s="43"/>
      <c r="HK93" s="43"/>
      <c r="HL93" s="43"/>
      <c r="HM93" s="43"/>
      <c r="HN93" s="43"/>
      <c r="HO93" s="43"/>
      <c r="HP93" s="43"/>
      <c r="HQ93" s="43"/>
      <c r="HR93" s="43"/>
      <c r="HS93" s="43"/>
      <c r="HT93" s="43"/>
      <c r="HU93" s="43"/>
      <c r="HV93" s="43"/>
      <c r="HW93" s="43"/>
      <c r="HX93" s="43"/>
      <c r="HY93" s="43"/>
      <c r="HZ93" s="43"/>
      <c r="IA93" s="43"/>
      <c r="IB93" s="43"/>
      <c r="IC93" s="43"/>
      <c r="ID93" s="43"/>
      <c r="IE93" s="43"/>
      <c r="IF93" s="43"/>
      <c r="IG93" s="43"/>
      <c r="IH93" s="43"/>
      <c r="II93" s="43"/>
      <c r="IJ93" s="43"/>
      <c r="IK93" s="43"/>
      <c r="IL93" s="43"/>
      <c r="IM93" s="43"/>
      <c r="IN93" s="43"/>
      <c r="IO93" s="43"/>
      <c r="IP93" s="43"/>
      <c r="IQ93" s="43"/>
      <c r="IR93" s="43"/>
      <c r="IS93" s="43"/>
      <c r="IT93" s="43"/>
      <c r="IU93" s="43"/>
      <c r="IV93" s="43"/>
    </row>
    <row r="94" spans="1:256" s="29" customFormat="1" x14ac:dyDescent="0.3">
      <c r="A94" s="33" t="s">
        <v>24</v>
      </c>
      <c r="B94" s="115" t="s">
        <v>149</v>
      </c>
      <c r="C94" s="43">
        <v>0</v>
      </c>
      <c r="D94" s="43">
        <v>0</v>
      </c>
      <c r="E94" s="43">
        <v>0</v>
      </c>
      <c r="F94" s="43">
        <v>1200</v>
      </c>
      <c r="G94" s="43">
        <v>0</v>
      </c>
      <c r="H94" s="43">
        <v>0</v>
      </c>
      <c r="I94" s="43">
        <v>0</v>
      </c>
      <c r="J94" s="43">
        <v>0</v>
      </c>
      <c r="K94" s="43">
        <f>SUM('X-Monthly'!CO94:CZ94)</f>
        <v>0</v>
      </c>
      <c r="L94" s="43">
        <f>SUM('X-Monthly'!DA94:DL94)</f>
        <v>0</v>
      </c>
      <c r="M94" s="43">
        <f>SUM('X-Monthly'!DM94:DX94)</f>
        <v>0</v>
      </c>
      <c r="N94" s="43">
        <f>SUM('X-Monthly'!DY94:EJ94)</f>
        <v>0</v>
      </c>
      <c r="O94" s="43">
        <f>SUM('X-Monthly'!EK94:EV94)</f>
        <v>0</v>
      </c>
      <c r="P94" s="43">
        <v>0</v>
      </c>
      <c r="Q94" s="43">
        <v>0</v>
      </c>
      <c r="R94" s="43">
        <v>0</v>
      </c>
      <c r="S94" s="43">
        <v>49956.380000000005</v>
      </c>
      <c r="T94" s="43">
        <v>352085.42000000004</v>
      </c>
      <c r="U94" s="43">
        <v>390563.45</v>
      </c>
      <c r="V94" s="43">
        <v>361152.93</v>
      </c>
      <c r="W94" s="43">
        <v>503895.73999999993</v>
      </c>
      <c r="X94" s="43">
        <v>555495.60200000007</v>
      </c>
      <c r="Y94" s="43">
        <v>590968.56000000006</v>
      </c>
      <c r="Z94" s="43">
        <v>247013.58</v>
      </c>
      <c r="AA94" s="43">
        <v>359657.99400000001</v>
      </c>
      <c r="AB94" s="43">
        <v>355850.37099999998</v>
      </c>
      <c r="AC94" s="43">
        <v>295725.5</v>
      </c>
      <c r="AD94" s="43">
        <v>393051.81599999999</v>
      </c>
      <c r="AE94" s="43"/>
      <c r="AF94" s="43"/>
      <c r="AG94" s="43"/>
      <c r="AH94" s="43"/>
      <c r="AI94" s="43"/>
      <c r="AJ94" s="43"/>
      <c r="AK94" s="43"/>
      <c r="AL94" s="43"/>
      <c r="AM94" s="43"/>
      <c r="AN94" s="43"/>
      <c r="AO94" s="43"/>
      <c r="AP94" s="43"/>
      <c r="AQ94" s="43"/>
      <c r="AR94" s="43"/>
      <c r="AS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  <c r="BF94" s="43"/>
      <c r="BG94" s="43"/>
      <c r="BH94" s="43"/>
      <c r="BI94" s="43"/>
      <c r="BJ94" s="43"/>
      <c r="BK94" s="43"/>
      <c r="BL94" s="43"/>
      <c r="BM94" s="43"/>
      <c r="BN94" s="43"/>
      <c r="BO94" s="43"/>
      <c r="BP94" s="43"/>
      <c r="BQ94" s="43"/>
      <c r="BR94" s="43"/>
      <c r="BS94" s="43"/>
      <c r="BT94" s="43"/>
      <c r="BU94" s="43"/>
      <c r="BV94" s="43"/>
      <c r="BW94" s="43"/>
      <c r="BX94" s="43"/>
      <c r="BY94" s="43"/>
      <c r="BZ94" s="43"/>
      <c r="CA94" s="43"/>
      <c r="CB94" s="43"/>
      <c r="CC94" s="43"/>
      <c r="CD94" s="43"/>
      <c r="CE94" s="43"/>
      <c r="CF94" s="43"/>
      <c r="CG94" s="43"/>
      <c r="CH94" s="43"/>
      <c r="CI94" s="43"/>
      <c r="CJ94" s="43"/>
      <c r="CK94" s="43"/>
      <c r="CL94" s="43"/>
      <c r="CM94" s="43"/>
      <c r="CN94" s="43"/>
      <c r="CO94" s="43"/>
      <c r="CP94" s="43"/>
      <c r="CQ94" s="43"/>
      <c r="CR94" s="43"/>
      <c r="CS94" s="43"/>
      <c r="CT94" s="43"/>
      <c r="CU94" s="43"/>
      <c r="CV94" s="43"/>
      <c r="CW94" s="43"/>
      <c r="CX94" s="43"/>
      <c r="CY94" s="43"/>
      <c r="CZ94" s="43"/>
      <c r="DA94" s="43"/>
      <c r="DB94" s="43"/>
      <c r="DC94" s="43"/>
      <c r="DD94" s="43"/>
      <c r="DE94" s="43"/>
      <c r="DF94" s="43"/>
      <c r="DG94" s="43"/>
      <c r="DH94" s="43"/>
      <c r="DI94" s="43"/>
      <c r="DJ94" s="43"/>
      <c r="DK94" s="43"/>
      <c r="DL94" s="43"/>
      <c r="DM94" s="43"/>
      <c r="DN94" s="43"/>
      <c r="DO94" s="43"/>
      <c r="DP94" s="43"/>
      <c r="DQ94" s="43"/>
      <c r="DR94" s="43"/>
      <c r="DS94" s="43"/>
      <c r="DT94" s="43"/>
      <c r="DU94" s="43"/>
      <c r="DV94" s="43"/>
      <c r="DW94" s="43"/>
      <c r="DX94" s="43"/>
      <c r="DY94" s="43"/>
      <c r="DZ94" s="43"/>
      <c r="EA94" s="43"/>
      <c r="EB94" s="43"/>
      <c r="EC94" s="43"/>
      <c r="ED94" s="43"/>
      <c r="EE94" s="43"/>
      <c r="EF94" s="43"/>
      <c r="EG94" s="43"/>
      <c r="EH94" s="43"/>
      <c r="EI94" s="43"/>
      <c r="EJ94" s="43"/>
      <c r="EK94" s="43"/>
      <c r="EL94" s="43"/>
      <c r="EM94" s="43"/>
      <c r="EN94" s="43"/>
      <c r="EO94" s="43"/>
      <c r="EP94" s="43"/>
      <c r="EQ94" s="43"/>
      <c r="ER94" s="43"/>
      <c r="ES94" s="43"/>
      <c r="ET94" s="43"/>
      <c r="EU94" s="43"/>
      <c r="EV94" s="43"/>
      <c r="EW94" s="43"/>
      <c r="EX94" s="43"/>
      <c r="EY94" s="43"/>
      <c r="EZ94" s="43"/>
      <c r="FA94" s="43"/>
      <c r="FB94" s="43"/>
      <c r="FC94" s="43"/>
      <c r="FD94" s="43"/>
      <c r="FE94" s="43"/>
      <c r="FF94" s="43"/>
      <c r="FG94" s="43"/>
      <c r="FH94" s="43"/>
      <c r="FI94" s="43"/>
      <c r="FJ94" s="43"/>
      <c r="FK94" s="43"/>
      <c r="FL94" s="43"/>
      <c r="FM94" s="43"/>
      <c r="FN94" s="43"/>
      <c r="FO94" s="43"/>
      <c r="FP94" s="43"/>
      <c r="FQ94" s="43"/>
      <c r="FR94" s="43"/>
      <c r="FS94" s="43"/>
      <c r="FT94" s="43"/>
      <c r="FU94" s="43"/>
      <c r="FV94" s="43"/>
      <c r="FW94" s="43"/>
      <c r="FX94" s="43"/>
      <c r="FY94" s="43"/>
      <c r="FZ94" s="43"/>
      <c r="GA94" s="43"/>
      <c r="GB94" s="43"/>
      <c r="GC94" s="43"/>
      <c r="GD94" s="43"/>
      <c r="GE94" s="43"/>
      <c r="GF94" s="43"/>
      <c r="GG94" s="43"/>
      <c r="GH94" s="43"/>
      <c r="GI94" s="43"/>
      <c r="GJ94" s="43"/>
      <c r="GK94" s="43"/>
      <c r="GL94" s="43"/>
      <c r="GM94" s="43"/>
      <c r="GN94" s="43"/>
      <c r="GO94" s="43"/>
      <c r="GP94" s="43"/>
      <c r="GQ94" s="43"/>
      <c r="GR94" s="43"/>
      <c r="GS94" s="43"/>
      <c r="GT94" s="43"/>
      <c r="GU94" s="43"/>
      <c r="GV94" s="43"/>
      <c r="GW94" s="43"/>
      <c r="GX94" s="43"/>
      <c r="GY94" s="43"/>
      <c r="GZ94" s="43"/>
      <c r="HA94" s="43"/>
      <c r="HB94" s="43"/>
      <c r="HC94" s="43"/>
      <c r="HD94" s="43"/>
      <c r="HE94" s="43"/>
      <c r="HF94" s="43"/>
      <c r="HG94" s="43"/>
      <c r="HH94" s="43"/>
      <c r="HI94" s="43"/>
      <c r="HJ94" s="43"/>
      <c r="HK94" s="43"/>
      <c r="HL94" s="43"/>
      <c r="HM94" s="43"/>
      <c r="HN94" s="43"/>
      <c r="HO94" s="43"/>
      <c r="HP94" s="43"/>
      <c r="HQ94" s="43"/>
      <c r="HR94" s="43"/>
      <c r="HS94" s="43"/>
      <c r="HT94" s="43"/>
      <c r="HU94" s="43"/>
      <c r="HV94" s="43"/>
      <c r="HW94" s="43"/>
      <c r="HX94" s="43"/>
      <c r="HY94" s="43"/>
      <c r="HZ94" s="43"/>
      <c r="IA94" s="43"/>
      <c r="IB94" s="43"/>
      <c r="IC94" s="43"/>
      <c r="ID94" s="43"/>
      <c r="IE94" s="43"/>
      <c r="IF94" s="43"/>
      <c r="IG94" s="43"/>
      <c r="IH94" s="43"/>
      <c r="II94" s="43"/>
      <c r="IJ94" s="43"/>
      <c r="IK94" s="43"/>
      <c r="IL94" s="43"/>
      <c r="IM94" s="43"/>
      <c r="IN94" s="43"/>
      <c r="IO94" s="43"/>
      <c r="IP94" s="43"/>
      <c r="IQ94" s="43"/>
      <c r="IR94" s="43"/>
      <c r="IS94" s="43"/>
      <c r="IT94" s="43"/>
      <c r="IU94" s="43"/>
      <c r="IV94" s="43"/>
    </row>
    <row r="95" spans="1:256" s="29" customFormat="1" x14ac:dyDescent="0.3">
      <c r="A95" s="33" t="s">
        <v>14</v>
      </c>
      <c r="B95" s="115" t="s">
        <v>149</v>
      </c>
      <c r="C95" s="43">
        <v>0</v>
      </c>
      <c r="D95" s="43">
        <v>0</v>
      </c>
      <c r="E95" s="43">
        <v>0</v>
      </c>
      <c r="F95" s="43">
        <v>289.93</v>
      </c>
      <c r="G95" s="43">
        <v>10184.879999999997</v>
      </c>
      <c r="H95" s="43">
        <v>645.29</v>
      </c>
      <c r="I95" s="43">
        <v>1805.32</v>
      </c>
      <c r="J95" s="43">
        <v>1917.65</v>
      </c>
      <c r="K95" s="43">
        <f>SUM('X-Monthly'!CO95:CZ95)</f>
        <v>1649.15</v>
      </c>
      <c r="L95" s="43">
        <f>SUM('X-Monthly'!DA95:DL95)</f>
        <v>1047</v>
      </c>
      <c r="M95" s="43">
        <f>SUM('X-Monthly'!DM95:DX95)</f>
        <v>3721.5899999999997</v>
      </c>
      <c r="N95" s="43">
        <f>SUM('X-Monthly'!DY95:EJ95)</f>
        <v>4655.28</v>
      </c>
      <c r="O95" s="43">
        <f>SUM('X-Monthly'!EK95:EV95)</f>
        <v>5435.8200000000006</v>
      </c>
      <c r="P95" s="43">
        <v>5894.2900000000009</v>
      </c>
      <c r="Q95" s="43">
        <v>7105.2099999999991</v>
      </c>
      <c r="R95" s="43">
        <v>6839.5100000000011</v>
      </c>
      <c r="S95" s="43">
        <v>6587.05</v>
      </c>
      <c r="T95" s="43">
        <v>6621.3700000000008</v>
      </c>
      <c r="U95" s="43">
        <v>9539.6489999999994</v>
      </c>
      <c r="V95" s="43">
        <v>12971.06</v>
      </c>
      <c r="W95" s="43">
        <v>6217.1040000000003</v>
      </c>
      <c r="X95" s="43">
        <v>6462.3258500000002</v>
      </c>
      <c r="Y95" s="43">
        <v>6572</v>
      </c>
      <c r="Z95" s="43">
        <v>14161.858999999999</v>
      </c>
      <c r="AA95" s="43">
        <v>7989.6640000000007</v>
      </c>
      <c r="AB95" s="43">
        <v>7056.9889999999996</v>
      </c>
      <c r="AC95" s="43">
        <v>7178.4259999999995</v>
      </c>
      <c r="AD95" s="43">
        <v>6259.5519999999997</v>
      </c>
      <c r="AE95" s="43"/>
      <c r="AF95" s="43"/>
      <c r="AG95" s="43"/>
      <c r="AH95" s="43"/>
      <c r="AI95" s="43"/>
      <c r="AJ95" s="43"/>
      <c r="AK95" s="43"/>
      <c r="AL95" s="43"/>
      <c r="AM95" s="43"/>
      <c r="AN95" s="43"/>
      <c r="AO95" s="43"/>
      <c r="AP95" s="43"/>
      <c r="AQ95" s="43"/>
      <c r="AR95" s="43"/>
      <c r="AS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  <c r="BF95" s="43"/>
      <c r="BG95" s="43"/>
      <c r="BH95" s="43"/>
      <c r="BI95" s="43"/>
      <c r="BJ95" s="43"/>
      <c r="BK95" s="43"/>
      <c r="BL95" s="43"/>
      <c r="BM95" s="43"/>
      <c r="BN95" s="43"/>
      <c r="BO95" s="43"/>
      <c r="BP95" s="43"/>
      <c r="BQ95" s="43"/>
      <c r="BR95" s="43"/>
      <c r="BS95" s="43"/>
      <c r="BT95" s="43"/>
      <c r="BU95" s="43"/>
      <c r="BV95" s="43"/>
      <c r="BW95" s="43"/>
      <c r="BX95" s="43"/>
      <c r="BY95" s="43"/>
      <c r="BZ95" s="43"/>
      <c r="CA95" s="43"/>
      <c r="CB95" s="43"/>
      <c r="CC95" s="43"/>
      <c r="CD95" s="43"/>
      <c r="CE95" s="43"/>
      <c r="CF95" s="43"/>
      <c r="CG95" s="43"/>
      <c r="CH95" s="43"/>
      <c r="CI95" s="43"/>
      <c r="CJ95" s="43"/>
      <c r="CK95" s="43"/>
      <c r="CL95" s="43"/>
      <c r="CM95" s="43"/>
      <c r="CN95" s="43"/>
      <c r="CO95" s="43"/>
      <c r="CP95" s="43"/>
      <c r="CQ95" s="43"/>
      <c r="CR95" s="43"/>
      <c r="CS95" s="43"/>
      <c r="CT95" s="43"/>
      <c r="CU95" s="43"/>
      <c r="CV95" s="43"/>
      <c r="CW95" s="43"/>
      <c r="CX95" s="43"/>
      <c r="CY95" s="43"/>
      <c r="CZ95" s="43"/>
      <c r="DA95" s="43"/>
      <c r="DB95" s="43"/>
      <c r="DC95" s="43"/>
      <c r="DD95" s="43"/>
      <c r="DE95" s="43"/>
      <c r="DF95" s="43"/>
      <c r="DG95" s="43"/>
      <c r="DH95" s="43"/>
      <c r="DI95" s="43"/>
      <c r="DJ95" s="43"/>
      <c r="DK95" s="43"/>
      <c r="DL95" s="43"/>
      <c r="DM95" s="43"/>
      <c r="DN95" s="43"/>
      <c r="DO95" s="43"/>
      <c r="DP95" s="43"/>
      <c r="DQ95" s="43"/>
      <c r="DR95" s="43"/>
      <c r="DS95" s="43"/>
      <c r="DT95" s="43"/>
      <c r="DU95" s="43"/>
      <c r="DV95" s="43"/>
      <c r="DW95" s="43"/>
      <c r="DX95" s="43"/>
      <c r="DY95" s="43"/>
      <c r="DZ95" s="43"/>
      <c r="EA95" s="43"/>
      <c r="EB95" s="43"/>
      <c r="EC95" s="43"/>
      <c r="ED95" s="43"/>
      <c r="EE95" s="43"/>
      <c r="EF95" s="43"/>
      <c r="EG95" s="43"/>
      <c r="EH95" s="43"/>
      <c r="EI95" s="43"/>
      <c r="EJ95" s="43"/>
      <c r="EK95" s="43"/>
      <c r="EL95" s="43"/>
      <c r="EM95" s="43"/>
      <c r="EN95" s="43"/>
      <c r="EO95" s="43"/>
      <c r="EP95" s="43"/>
      <c r="EQ95" s="43"/>
      <c r="ER95" s="43"/>
      <c r="ES95" s="43"/>
      <c r="ET95" s="43"/>
      <c r="EU95" s="43"/>
      <c r="EV95" s="43"/>
      <c r="EW95" s="43"/>
      <c r="EX95" s="43"/>
      <c r="EY95" s="43"/>
      <c r="EZ95" s="43"/>
      <c r="FA95" s="43"/>
      <c r="FB95" s="43"/>
      <c r="FC95" s="43"/>
      <c r="FD95" s="43"/>
      <c r="FE95" s="43"/>
      <c r="FF95" s="43"/>
      <c r="FG95" s="43"/>
      <c r="FH95" s="43"/>
      <c r="FI95" s="43"/>
      <c r="FJ95" s="43"/>
      <c r="FK95" s="43"/>
      <c r="FL95" s="43"/>
      <c r="FM95" s="43"/>
      <c r="FN95" s="43"/>
      <c r="FO95" s="43"/>
      <c r="FP95" s="43"/>
      <c r="FQ95" s="43"/>
      <c r="FR95" s="43"/>
      <c r="FS95" s="43"/>
      <c r="FT95" s="43"/>
      <c r="FU95" s="43"/>
      <c r="FV95" s="43"/>
      <c r="FW95" s="43"/>
      <c r="FX95" s="43"/>
      <c r="FY95" s="43"/>
      <c r="FZ95" s="43"/>
      <c r="GA95" s="43"/>
      <c r="GB95" s="43"/>
      <c r="GC95" s="43"/>
      <c r="GD95" s="43"/>
      <c r="GE95" s="43"/>
      <c r="GF95" s="43"/>
      <c r="GG95" s="43"/>
      <c r="GH95" s="43"/>
      <c r="GI95" s="43"/>
      <c r="GJ95" s="43"/>
      <c r="GK95" s="43"/>
      <c r="GL95" s="43"/>
      <c r="GM95" s="43"/>
      <c r="GN95" s="43"/>
      <c r="GO95" s="43"/>
      <c r="GP95" s="43"/>
      <c r="GQ95" s="43"/>
      <c r="GR95" s="43"/>
      <c r="GS95" s="43"/>
      <c r="GT95" s="43"/>
      <c r="GU95" s="43"/>
      <c r="GV95" s="43"/>
      <c r="GW95" s="43"/>
      <c r="GX95" s="43"/>
      <c r="GY95" s="43"/>
      <c r="GZ95" s="43"/>
      <c r="HA95" s="43"/>
      <c r="HB95" s="43"/>
      <c r="HC95" s="43"/>
      <c r="HD95" s="43"/>
      <c r="HE95" s="43"/>
      <c r="HF95" s="43"/>
      <c r="HG95" s="43"/>
      <c r="HH95" s="43"/>
      <c r="HI95" s="43"/>
      <c r="HJ95" s="43"/>
      <c r="HK95" s="43"/>
      <c r="HL95" s="43"/>
      <c r="HM95" s="43"/>
      <c r="HN95" s="43"/>
      <c r="HO95" s="43"/>
      <c r="HP95" s="43"/>
      <c r="HQ95" s="43"/>
      <c r="HR95" s="43"/>
      <c r="HS95" s="43"/>
      <c r="HT95" s="43"/>
      <c r="HU95" s="43"/>
      <c r="HV95" s="43"/>
      <c r="HW95" s="43"/>
      <c r="HX95" s="43"/>
      <c r="HY95" s="43"/>
      <c r="HZ95" s="43"/>
      <c r="IA95" s="43"/>
      <c r="IB95" s="43"/>
      <c r="IC95" s="43"/>
      <c r="ID95" s="43"/>
      <c r="IE95" s="43"/>
      <c r="IF95" s="43"/>
      <c r="IG95" s="43"/>
      <c r="IH95" s="43"/>
      <c r="II95" s="43"/>
      <c r="IJ95" s="43"/>
      <c r="IK95" s="43"/>
      <c r="IL95" s="43"/>
      <c r="IM95" s="43"/>
      <c r="IN95" s="43"/>
      <c r="IO95" s="43"/>
      <c r="IP95" s="43"/>
      <c r="IQ95" s="43"/>
      <c r="IR95" s="43"/>
      <c r="IS95" s="43"/>
      <c r="IT95" s="43"/>
      <c r="IU95" s="43"/>
      <c r="IV95" s="43"/>
    </row>
    <row r="96" spans="1:256" s="29" customFormat="1" x14ac:dyDescent="0.3">
      <c r="A96" s="33" t="s">
        <v>25</v>
      </c>
      <c r="B96" s="115" t="s">
        <v>149</v>
      </c>
      <c r="C96" s="43">
        <v>0</v>
      </c>
      <c r="D96" s="43">
        <v>0</v>
      </c>
      <c r="E96" s="43">
        <v>0</v>
      </c>
      <c r="F96" s="43">
        <v>340.59999999999997</v>
      </c>
      <c r="G96" s="43">
        <v>794.28000000000009</v>
      </c>
      <c r="H96" s="43">
        <v>1443.9300000000003</v>
      </c>
      <c r="I96" s="43">
        <v>1450.8069999999998</v>
      </c>
      <c r="J96" s="43">
        <v>1650.3400000000001</v>
      </c>
      <c r="K96" s="43">
        <f>SUM('X-Monthly'!CO96:CZ96)</f>
        <v>1932.3300000000004</v>
      </c>
      <c r="L96" s="43">
        <f>SUM('X-Monthly'!DA96:DL96)</f>
        <v>1701.9499999999998</v>
      </c>
      <c r="M96" s="43">
        <f>SUM('X-Monthly'!DM96:DX96)</f>
        <v>1834.08</v>
      </c>
      <c r="N96" s="43">
        <f>SUM('X-Monthly'!DY96:EJ96)</f>
        <v>2666.63</v>
      </c>
      <c r="O96" s="43">
        <f>SUM('X-Monthly'!EK96:EV96)</f>
        <v>4745.1900000000005</v>
      </c>
      <c r="P96" s="43">
        <v>6291.87</v>
      </c>
      <c r="Q96" s="43">
        <v>5386.5700000000006</v>
      </c>
      <c r="R96" s="43">
        <v>7739.95</v>
      </c>
      <c r="S96" s="43">
        <v>9412.7699999999986</v>
      </c>
      <c r="T96" s="43">
        <v>9414.73</v>
      </c>
      <c r="U96" s="43">
        <v>13859.010000000002</v>
      </c>
      <c r="V96" s="43">
        <v>16541.395</v>
      </c>
      <c r="W96" s="43">
        <v>17935.62</v>
      </c>
      <c r="X96" s="43">
        <v>19682.625000000004</v>
      </c>
      <c r="Y96" s="43">
        <v>26140.07</v>
      </c>
      <c r="Z96" s="43">
        <v>26113.248000000003</v>
      </c>
      <c r="AA96" s="43">
        <v>25429.059999999998</v>
      </c>
      <c r="AB96" s="43">
        <v>29714.096999999998</v>
      </c>
      <c r="AC96" s="43">
        <v>27580.93</v>
      </c>
      <c r="AD96" s="43">
        <v>30752.324910000003</v>
      </c>
      <c r="AE96" s="43"/>
      <c r="AF96" s="43"/>
      <c r="AG96" s="43"/>
      <c r="AH96" s="43"/>
      <c r="AI96" s="43"/>
      <c r="AJ96" s="43"/>
      <c r="AK96" s="43"/>
      <c r="AL96" s="43"/>
      <c r="AM96" s="43"/>
      <c r="AN96" s="43"/>
      <c r="AO96" s="43"/>
      <c r="AP96" s="43"/>
      <c r="AQ96" s="43"/>
      <c r="AR96" s="43"/>
      <c r="AS96" s="4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  <c r="BF96" s="43"/>
      <c r="BG96" s="43"/>
      <c r="BH96" s="43"/>
      <c r="BI96" s="43"/>
      <c r="BJ96" s="43"/>
      <c r="BK96" s="43"/>
      <c r="BL96" s="43"/>
      <c r="BM96" s="43"/>
      <c r="BN96" s="43"/>
      <c r="BO96" s="43"/>
      <c r="BP96" s="43"/>
      <c r="BQ96" s="43"/>
      <c r="BR96" s="43"/>
      <c r="BS96" s="43"/>
      <c r="BT96" s="43"/>
      <c r="BU96" s="43"/>
      <c r="BV96" s="43"/>
      <c r="BW96" s="43"/>
      <c r="BX96" s="43"/>
      <c r="BY96" s="43"/>
      <c r="BZ96" s="43"/>
      <c r="CA96" s="43"/>
      <c r="CB96" s="43"/>
      <c r="CC96" s="43"/>
      <c r="CD96" s="43"/>
      <c r="CE96" s="43"/>
      <c r="CF96" s="43"/>
      <c r="CG96" s="43"/>
      <c r="CH96" s="43"/>
      <c r="CI96" s="43"/>
      <c r="CJ96" s="43"/>
      <c r="CK96" s="43"/>
      <c r="CL96" s="43"/>
      <c r="CM96" s="43"/>
      <c r="CN96" s="43"/>
      <c r="CO96" s="43"/>
      <c r="CP96" s="43"/>
      <c r="CQ96" s="43"/>
      <c r="CR96" s="43"/>
      <c r="CS96" s="43"/>
      <c r="CT96" s="43"/>
      <c r="CU96" s="43"/>
      <c r="CV96" s="43"/>
      <c r="CW96" s="43"/>
      <c r="CX96" s="43"/>
      <c r="CY96" s="43"/>
      <c r="CZ96" s="43"/>
      <c r="DA96" s="43"/>
      <c r="DB96" s="43"/>
      <c r="DC96" s="43"/>
      <c r="DD96" s="43"/>
      <c r="DE96" s="43"/>
      <c r="DF96" s="43"/>
      <c r="DG96" s="43"/>
      <c r="DH96" s="43"/>
      <c r="DI96" s="43"/>
      <c r="DJ96" s="43"/>
      <c r="DK96" s="43"/>
      <c r="DL96" s="43"/>
      <c r="DM96" s="43"/>
      <c r="DN96" s="43"/>
      <c r="DO96" s="43"/>
      <c r="DP96" s="43"/>
      <c r="DQ96" s="43"/>
      <c r="DR96" s="43"/>
      <c r="DS96" s="43"/>
      <c r="DT96" s="43"/>
      <c r="DU96" s="43"/>
      <c r="DV96" s="43"/>
      <c r="DW96" s="43"/>
      <c r="DX96" s="43"/>
      <c r="DY96" s="43"/>
      <c r="DZ96" s="43"/>
      <c r="EA96" s="43"/>
      <c r="EB96" s="43"/>
      <c r="EC96" s="43"/>
      <c r="ED96" s="43"/>
      <c r="EE96" s="43"/>
      <c r="EF96" s="43"/>
      <c r="EG96" s="43"/>
      <c r="EH96" s="43"/>
      <c r="EI96" s="43"/>
      <c r="EJ96" s="43"/>
      <c r="EK96" s="43"/>
      <c r="EL96" s="43"/>
      <c r="EM96" s="43"/>
      <c r="EN96" s="43"/>
      <c r="EO96" s="43"/>
      <c r="EP96" s="43"/>
      <c r="EQ96" s="43"/>
      <c r="ER96" s="43"/>
      <c r="ES96" s="43"/>
      <c r="ET96" s="43"/>
      <c r="EU96" s="43"/>
      <c r="EV96" s="43"/>
      <c r="EW96" s="43"/>
      <c r="EX96" s="43"/>
      <c r="EY96" s="43"/>
      <c r="EZ96" s="43"/>
      <c r="FA96" s="43"/>
      <c r="FB96" s="43"/>
      <c r="FC96" s="43"/>
      <c r="FD96" s="43"/>
      <c r="FE96" s="43"/>
      <c r="FF96" s="43"/>
      <c r="FG96" s="43"/>
      <c r="FH96" s="43"/>
      <c r="FI96" s="43"/>
      <c r="FJ96" s="43"/>
      <c r="FK96" s="43"/>
      <c r="FL96" s="43"/>
      <c r="FM96" s="43"/>
      <c r="FN96" s="43"/>
      <c r="FO96" s="43"/>
      <c r="FP96" s="43"/>
      <c r="FQ96" s="43"/>
      <c r="FR96" s="43"/>
      <c r="FS96" s="43"/>
      <c r="FT96" s="43"/>
      <c r="FU96" s="43"/>
      <c r="FV96" s="43"/>
      <c r="FW96" s="43"/>
      <c r="FX96" s="43"/>
      <c r="FY96" s="43"/>
      <c r="FZ96" s="43"/>
      <c r="GA96" s="43"/>
      <c r="GB96" s="43"/>
      <c r="GC96" s="43"/>
      <c r="GD96" s="43"/>
      <c r="GE96" s="43"/>
      <c r="GF96" s="43"/>
      <c r="GG96" s="43"/>
      <c r="GH96" s="43"/>
      <c r="GI96" s="43"/>
      <c r="GJ96" s="43"/>
      <c r="GK96" s="43"/>
      <c r="GL96" s="43"/>
      <c r="GM96" s="43"/>
      <c r="GN96" s="43"/>
      <c r="GO96" s="43"/>
      <c r="GP96" s="43"/>
      <c r="GQ96" s="43"/>
      <c r="GR96" s="43"/>
      <c r="GS96" s="43"/>
      <c r="GT96" s="43"/>
      <c r="GU96" s="43"/>
      <c r="GV96" s="43"/>
      <c r="GW96" s="43"/>
      <c r="GX96" s="43"/>
      <c r="GY96" s="43"/>
      <c r="GZ96" s="43"/>
      <c r="HA96" s="43"/>
      <c r="HB96" s="43"/>
      <c r="HC96" s="43"/>
      <c r="HD96" s="43"/>
      <c r="HE96" s="43"/>
      <c r="HF96" s="43"/>
      <c r="HG96" s="43"/>
      <c r="HH96" s="43"/>
      <c r="HI96" s="43"/>
      <c r="HJ96" s="43"/>
      <c r="HK96" s="43"/>
      <c r="HL96" s="43"/>
      <c r="HM96" s="43"/>
      <c r="HN96" s="43"/>
      <c r="HO96" s="43"/>
      <c r="HP96" s="43"/>
      <c r="HQ96" s="43"/>
      <c r="HR96" s="43"/>
      <c r="HS96" s="43"/>
      <c r="HT96" s="43"/>
      <c r="HU96" s="43"/>
      <c r="HV96" s="43"/>
      <c r="HW96" s="43"/>
      <c r="HX96" s="43"/>
      <c r="HY96" s="43"/>
      <c r="HZ96" s="43"/>
      <c r="IA96" s="43"/>
      <c r="IB96" s="43"/>
      <c r="IC96" s="43"/>
      <c r="ID96" s="43"/>
      <c r="IE96" s="43"/>
      <c r="IF96" s="43"/>
      <c r="IG96" s="43"/>
      <c r="IH96" s="43"/>
      <c r="II96" s="43"/>
      <c r="IJ96" s="43"/>
      <c r="IK96" s="43"/>
      <c r="IL96" s="43"/>
      <c r="IM96" s="43"/>
      <c r="IN96" s="43"/>
      <c r="IO96" s="43"/>
      <c r="IP96" s="43"/>
      <c r="IQ96" s="43"/>
      <c r="IR96" s="43"/>
      <c r="IS96" s="43"/>
      <c r="IT96" s="43"/>
      <c r="IU96" s="43"/>
      <c r="IV96" s="43"/>
    </row>
    <row r="97" spans="1:256" s="29" customFormat="1" x14ac:dyDescent="0.3">
      <c r="A97" s="33" t="s">
        <v>36</v>
      </c>
      <c r="B97" s="115" t="s">
        <v>149</v>
      </c>
      <c r="C97" s="43">
        <v>0</v>
      </c>
      <c r="D97" s="43">
        <v>0</v>
      </c>
      <c r="E97" s="43">
        <v>0</v>
      </c>
      <c r="F97" s="43">
        <v>0</v>
      </c>
      <c r="G97" s="43">
        <v>0</v>
      </c>
      <c r="H97" s="43">
        <v>0</v>
      </c>
      <c r="I97" s="43">
        <v>0</v>
      </c>
      <c r="J97" s="43">
        <v>0</v>
      </c>
      <c r="K97" s="43">
        <f>SUM('X-Monthly'!CO97:CZ97)</f>
        <v>0</v>
      </c>
      <c r="L97" s="43">
        <f>SUM('X-Monthly'!DA97:DL97)</f>
        <v>0</v>
      </c>
      <c r="M97" s="43">
        <f>SUM('X-Monthly'!DM97:DX97)</f>
        <v>0</v>
      </c>
      <c r="N97" s="43">
        <f>SUM('X-Monthly'!DY97:EJ97)</f>
        <v>0</v>
      </c>
      <c r="O97" s="43">
        <f>SUM('X-Monthly'!EK97:EV97)</f>
        <v>0</v>
      </c>
      <c r="P97" s="43">
        <v>0</v>
      </c>
      <c r="Q97" s="43">
        <v>0</v>
      </c>
      <c r="R97" s="43">
        <v>0</v>
      </c>
      <c r="S97" s="43">
        <v>28183.690000000002</v>
      </c>
      <c r="T97" s="43">
        <v>88847.75</v>
      </c>
      <c r="U97" s="43">
        <v>89340.195999999996</v>
      </c>
      <c r="V97" s="43">
        <v>89466.758999999991</v>
      </c>
      <c r="W97" s="43">
        <v>106106.81</v>
      </c>
      <c r="X97" s="43">
        <v>155067.28565000001</v>
      </c>
      <c r="Y97" s="43">
        <v>123773.43999999999</v>
      </c>
      <c r="Z97" s="43">
        <v>105041.42970000001</v>
      </c>
      <c r="AA97" s="43">
        <v>115182.92899999999</v>
      </c>
      <c r="AB97" s="43">
        <v>157648.89199999999</v>
      </c>
      <c r="AC97" s="43">
        <v>128135.34</v>
      </c>
      <c r="AD97" s="43">
        <v>164273.03161000001</v>
      </c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43"/>
      <c r="AS97" s="4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  <c r="BF97" s="43"/>
      <c r="BG97" s="43"/>
      <c r="BH97" s="43"/>
      <c r="BI97" s="43"/>
      <c r="BJ97" s="43"/>
      <c r="BK97" s="43"/>
      <c r="BL97" s="43"/>
      <c r="BM97" s="43"/>
      <c r="BN97" s="43"/>
      <c r="BO97" s="43"/>
      <c r="BP97" s="43"/>
      <c r="BQ97" s="43"/>
      <c r="BR97" s="43"/>
      <c r="BS97" s="43"/>
      <c r="BT97" s="43"/>
      <c r="BU97" s="43"/>
      <c r="BV97" s="43"/>
      <c r="BW97" s="43"/>
      <c r="BX97" s="43"/>
      <c r="BY97" s="43"/>
      <c r="BZ97" s="43"/>
      <c r="CA97" s="43"/>
      <c r="CB97" s="43"/>
      <c r="CC97" s="43"/>
      <c r="CD97" s="43"/>
      <c r="CE97" s="43"/>
      <c r="CF97" s="43"/>
      <c r="CG97" s="43"/>
      <c r="CH97" s="43"/>
      <c r="CI97" s="43"/>
      <c r="CJ97" s="43"/>
      <c r="CK97" s="43"/>
      <c r="CL97" s="43"/>
      <c r="CM97" s="43"/>
      <c r="CN97" s="43"/>
      <c r="CO97" s="43"/>
      <c r="CP97" s="43"/>
      <c r="CQ97" s="43"/>
      <c r="CR97" s="43"/>
      <c r="CS97" s="43"/>
      <c r="CT97" s="43"/>
      <c r="CU97" s="43"/>
      <c r="CV97" s="43"/>
      <c r="CW97" s="43"/>
      <c r="CX97" s="43"/>
      <c r="CY97" s="43"/>
      <c r="CZ97" s="43"/>
      <c r="DA97" s="43"/>
      <c r="DB97" s="43"/>
      <c r="DC97" s="43"/>
      <c r="DD97" s="43"/>
      <c r="DE97" s="43"/>
      <c r="DF97" s="43"/>
      <c r="DG97" s="43"/>
      <c r="DH97" s="43"/>
      <c r="DI97" s="43"/>
      <c r="DJ97" s="43"/>
      <c r="DK97" s="43"/>
      <c r="DL97" s="43"/>
      <c r="DM97" s="43"/>
      <c r="DN97" s="43"/>
      <c r="DO97" s="43"/>
      <c r="DP97" s="43"/>
      <c r="DQ97" s="43"/>
      <c r="DR97" s="43"/>
      <c r="DS97" s="43"/>
      <c r="DT97" s="43"/>
      <c r="DU97" s="43"/>
      <c r="DV97" s="43"/>
      <c r="DW97" s="43"/>
      <c r="DX97" s="43"/>
      <c r="DY97" s="43"/>
      <c r="DZ97" s="43"/>
      <c r="EA97" s="43"/>
      <c r="EB97" s="43"/>
      <c r="EC97" s="43"/>
      <c r="ED97" s="43"/>
      <c r="EE97" s="43"/>
      <c r="EF97" s="43"/>
      <c r="EG97" s="43"/>
      <c r="EH97" s="43"/>
      <c r="EI97" s="43"/>
      <c r="EJ97" s="43"/>
      <c r="EK97" s="43"/>
      <c r="EL97" s="43"/>
      <c r="EM97" s="43"/>
      <c r="EN97" s="43"/>
      <c r="EO97" s="43"/>
      <c r="EP97" s="43"/>
      <c r="EQ97" s="43"/>
      <c r="ER97" s="43"/>
      <c r="ES97" s="43"/>
      <c r="ET97" s="43"/>
      <c r="EU97" s="43"/>
      <c r="EV97" s="43"/>
      <c r="EW97" s="43"/>
      <c r="EX97" s="43"/>
      <c r="EY97" s="43"/>
      <c r="EZ97" s="43"/>
      <c r="FA97" s="43"/>
      <c r="FB97" s="43"/>
      <c r="FC97" s="43"/>
      <c r="FD97" s="43"/>
      <c r="FE97" s="43"/>
      <c r="FF97" s="43"/>
      <c r="FG97" s="43"/>
      <c r="FH97" s="43"/>
      <c r="FI97" s="43"/>
      <c r="FJ97" s="43"/>
      <c r="FK97" s="43"/>
      <c r="FL97" s="43"/>
      <c r="FM97" s="43"/>
      <c r="FN97" s="43"/>
      <c r="FO97" s="43"/>
      <c r="FP97" s="43"/>
      <c r="FQ97" s="43"/>
      <c r="FR97" s="43"/>
      <c r="FS97" s="43"/>
      <c r="FT97" s="43"/>
      <c r="FU97" s="43"/>
      <c r="FV97" s="43"/>
      <c r="FW97" s="43"/>
      <c r="FX97" s="43"/>
      <c r="FY97" s="43"/>
      <c r="FZ97" s="43"/>
      <c r="GA97" s="43"/>
      <c r="GB97" s="43"/>
      <c r="GC97" s="43"/>
      <c r="GD97" s="43"/>
      <c r="GE97" s="43"/>
      <c r="GF97" s="43"/>
      <c r="GG97" s="43"/>
      <c r="GH97" s="43"/>
      <c r="GI97" s="43"/>
      <c r="GJ97" s="43"/>
      <c r="GK97" s="43"/>
      <c r="GL97" s="43"/>
      <c r="GM97" s="43"/>
      <c r="GN97" s="43"/>
      <c r="GO97" s="43"/>
      <c r="GP97" s="43"/>
      <c r="GQ97" s="43"/>
      <c r="GR97" s="43"/>
      <c r="GS97" s="43"/>
      <c r="GT97" s="43"/>
      <c r="GU97" s="43"/>
      <c r="GV97" s="43"/>
      <c r="GW97" s="43"/>
      <c r="GX97" s="43"/>
      <c r="GY97" s="43"/>
      <c r="GZ97" s="43"/>
      <c r="HA97" s="43"/>
      <c r="HB97" s="43"/>
      <c r="HC97" s="43"/>
      <c r="HD97" s="43"/>
      <c r="HE97" s="43"/>
      <c r="HF97" s="43"/>
      <c r="HG97" s="43"/>
      <c r="HH97" s="43"/>
      <c r="HI97" s="43"/>
      <c r="HJ97" s="43"/>
      <c r="HK97" s="43"/>
      <c r="HL97" s="43"/>
      <c r="HM97" s="43"/>
      <c r="HN97" s="43"/>
      <c r="HO97" s="43"/>
      <c r="HP97" s="43"/>
      <c r="HQ97" s="43"/>
      <c r="HR97" s="43"/>
      <c r="HS97" s="43"/>
      <c r="HT97" s="43"/>
      <c r="HU97" s="43"/>
      <c r="HV97" s="43"/>
      <c r="HW97" s="43"/>
      <c r="HX97" s="43"/>
      <c r="HY97" s="43"/>
      <c r="HZ97" s="43"/>
      <c r="IA97" s="43"/>
      <c r="IB97" s="43"/>
      <c r="IC97" s="43"/>
      <c r="ID97" s="43"/>
      <c r="IE97" s="43"/>
      <c r="IF97" s="43"/>
      <c r="IG97" s="43"/>
      <c r="IH97" s="43"/>
      <c r="II97" s="43"/>
      <c r="IJ97" s="43"/>
      <c r="IK97" s="43"/>
      <c r="IL97" s="43"/>
      <c r="IM97" s="43"/>
      <c r="IN97" s="43"/>
      <c r="IO97" s="43"/>
      <c r="IP97" s="43"/>
      <c r="IQ97" s="43"/>
      <c r="IR97" s="43"/>
      <c r="IS97" s="43"/>
      <c r="IT97" s="43"/>
      <c r="IU97" s="43"/>
      <c r="IV97" s="43"/>
    </row>
    <row r="98" spans="1:256" s="29" customFormat="1" x14ac:dyDescent="0.3">
      <c r="A98" s="33" t="s">
        <v>34</v>
      </c>
      <c r="B98" s="115" t="s">
        <v>149</v>
      </c>
      <c r="C98" s="43">
        <v>0</v>
      </c>
      <c r="D98" s="43">
        <v>0</v>
      </c>
      <c r="E98" s="43">
        <v>0</v>
      </c>
      <c r="F98" s="43">
        <v>0</v>
      </c>
      <c r="G98" s="43">
        <v>0</v>
      </c>
      <c r="H98" s="43">
        <v>0</v>
      </c>
      <c r="I98" s="43">
        <v>0</v>
      </c>
      <c r="J98" s="43">
        <v>0</v>
      </c>
      <c r="K98" s="43">
        <f>SUM('X-Monthly'!CO98:CZ98)</f>
        <v>0</v>
      </c>
      <c r="L98" s="43">
        <f>SUM('X-Monthly'!DA98:DL98)</f>
        <v>0</v>
      </c>
      <c r="M98" s="43">
        <f>SUM('X-Monthly'!DM98:DX98)</f>
        <v>0</v>
      </c>
      <c r="N98" s="43">
        <f>SUM('X-Monthly'!DY98:EJ98)</f>
        <v>0</v>
      </c>
      <c r="O98" s="43">
        <f>SUM('X-Monthly'!EK98:EV98)</f>
        <v>0</v>
      </c>
      <c r="P98" s="43">
        <v>0</v>
      </c>
      <c r="Q98" s="43">
        <v>0</v>
      </c>
      <c r="R98" s="43">
        <v>0</v>
      </c>
      <c r="S98" s="43">
        <v>10924.85</v>
      </c>
      <c r="T98" s="43">
        <v>22141.699999999997</v>
      </c>
      <c r="U98" s="43">
        <v>36936.910000000003</v>
      </c>
      <c r="V98" s="43">
        <v>34252.983999999997</v>
      </c>
      <c r="W98" s="43">
        <v>38776.959999999999</v>
      </c>
      <c r="X98" s="43">
        <v>70011.526639999996</v>
      </c>
      <c r="Y98" s="43">
        <v>71152.28</v>
      </c>
      <c r="Z98" s="43">
        <v>54798.990999999995</v>
      </c>
      <c r="AA98" s="43">
        <v>48142.178999999996</v>
      </c>
      <c r="AB98" s="43">
        <v>45387.619000000006</v>
      </c>
      <c r="AC98" s="43">
        <v>54154.774099999995</v>
      </c>
      <c r="AD98" s="43">
        <v>52664.393869999993</v>
      </c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3"/>
      <c r="AP98" s="43"/>
      <c r="AQ98" s="43"/>
      <c r="AR98" s="43"/>
      <c r="AS98" s="4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  <c r="BF98" s="43"/>
      <c r="BG98" s="43"/>
      <c r="BH98" s="43"/>
      <c r="BI98" s="43"/>
      <c r="BJ98" s="43"/>
      <c r="BK98" s="43"/>
      <c r="BL98" s="43"/>
      <c r="BM98" s="43"/>
      <c r="BN98" s="43"/>
      <c r="BO98" s="43"/>
      <c r="BP98" s="43"/>
      <c r="BQ98" s="43"/>
      <c r="BR98" s="43"/>
      <c r="BS98" s="43"/>
      <c r="BT98" s="43"/>
      <c r="BU98" s="43"/>
      <c r="BV98" s="43"/>
      <c r="BW98" s="43"/>
      <c r="BX98" s="43"/>
      <c r="BY98" s="43"/>
      <c r="BZ98" s="43"/>
      <c r="CA98" s="43"/>
      <c r="CB98" s="43"/>
      <c r="CC98" s="43"/>
      <c r="CD98" s="43"/>
      <c r="CE98" s="43"/>
      <c r="CF98" s="43"/>
      <c r="CG98" s="43"/>
      <c r="CH98" s="43"/>
      <c r="CI98" s="43"/>
      <c r="CJ98" s="43"/>
      <c r="CK98" s="43"/>
      <c r="CL98" s="43"/>
      <c r="CM98" s="43"/>
      <c r="CN98" s="43"/>
      <c r="CO98" s="43"/>
      <c r="CP98" s="43"/>
      <c r="CQ98" s="43"/>
      <c r="CR98" s="43"/>
      <c r="CS98" s="43"/>
      <c r="CT98" s="43"/>
      <c r="CU98" s="43"/>
      <c r="CV98" s="43"/>
      <c r="CW98" s="43"/>
      <c r="CX98" s="43"/>
      <c r="CY98" s="43"/>
      <c r="CZ98" s="43"/>
      <c r="DA98" s="43"/>
      <c r="DB98" s="43"/>
      <c r="DC98" s="43"/>
      <c r="DD98" s="43"/>
      <c r="DE98" s="43"/>
      <c r="DF98" s="43"/>
      <c r="DG98" s="43"/>
      <c r="DH98" s="43"/>
      <c r="DI98" s="43"/>
      <c r="DJ98" s="43"/>
      <c r="DK98" s="43"/>
      <c r="DL98" s="43"/>
      <c r="DM98" s="43"/>
      <c r="DN98" s="43"/>
      <c r="DO98" s="43"/>
      <c r="DP98" s="43"/>
      <c r="DQ98" s="43"/>
      <c r="DR98" s="43"/>
      <c r="DS98" s="43"/>
      <c r="DT98" s="43"/>
      <c r="DU98" s="43"/>
      <c r="DV98" s="43"/>
      <c r="DW98" s="43"/>
      <c r="DX98" s="43"/>
      <c r="DY98" s="43"/>
      <c r="DZ98" s="43"/>
      <c r="EA98" s="43"/>
      <c r="EB98" s="43"/>
      <c r="EC98" s="43"/>
      <c r="ED98" s="43"/>
      <c r="EE98" s="43"/>
      <c r="EF98" s="43"/>
      <c r="EG98" s="43"/>
      <c r="EH98" s="43"/>
      <c r="EI98" s="43"/>
      <c r="EJ98" s="43"/>
      <c r="EK98" s="43"/>
      <c r="EL98" s="43"/>
      <c r="EM98" s="43"/>
      <c r="EN98" s="43"/>
      <c r="EO98" s="43"/>
      <c r="EP98" s="43"/>
      <c r="EQ98" s="43"/>
      <c r="ER98" s="43"/>
      <c r="ES98" s="43"/>
      <c r="ET98" s="43"/>
      <c r="EU98" s="43"/>
      <c r="EV98" s="43"/>
      <c r="EW98" s="43"/>
      <c r="EX98" s="43"/>
      <c r="EY98" s="43"/>
      <c r="EZ98" s="43"/>
      <c r="FA98" s="43"/>
      <c r="FB98" s="43"/>
      <c r="FC98" s="43"/>
      <c r="FD98" s="43"/>
      <c r="FE98" s="43"/>
      <c r="FF98" s="43"/>
      <c r="FG98" s="43"/>
      <c r="FH98" s="43"/>
      <c r="FI98" s="43"/>
      <c r="FJ98" s="43"/>
      <c r="FK98" s="43"/>
      <c r="FL98" s="43"/>
      <c r="FM98" s="43"/>
      <c r="FN98" s="43"/>
      <c r="FO98" s="43"/>
      <c r="FP98" s="43"/>
      <c r="FQ98" s="43"/>
      <c r="FR98" s="43"/>
      <c r="FS98" s="43"/>
      <c r="FT98" s="43"/>
      <c r="FU98" s="43"/>
      <c r="FV98" s="43"/>
      <c r="FW98" s="43"/>
      <c r="FX98" s="43"/>
      <c r="FY98" s="43"/>
      <c r="FZ98" s="43"/>
      <c r="GA98" s="43"/>
      <c r="GB98" s="43"/>
      <c r="GC98" s="43"/>
      <c r="GD98" s="43"/>
      <c r="GE98" s="43"/>
      <c r="GF98" s="43"/>
      <c r="GG98" s="43"/>
      <c r="GH98" s="43"/>
      <c r="GI98" s="43"/>
      <c r="GJ98" s="43"/>
      <c r="GK98" s="43"/>
      <c r="GL98" s="43"/>
      <c r="GM98" s="43"/>
      <c r="GN98" s="43"/>
      <c r="GO98" s="43"/>
      <c r="GP98" s="43"/>
      <c r="GQ98" s="43"/>
      <c r="GR98" s="43"/>
      <c r="GS98" s="43"/>
      <c r="GT98" s="43"/>
      <c r="GU98" s="43"/>
      <c r="GV98" s="43"/>
      <c r="GW98" s="43"/>
      <c r="GX98" s="43"/>
      <c r="GY98" s="43"/>
      <c r="GZ98" s="43"/>
      <c r="HA98" s="43"/>
      <c r="HB98" s="43"/>
      <c r="HC98" s="43"/>
      <c r="HD98" s="43"/>
      <c r="HE98" s="43"/>
      <c r="HF98" s="43"/>
      <c r="HG98" s="43"/>
      <c r="HH98" s="43"/>
      <c r="HI98" s="43"/>
      <c r="HJ98" s="43"/>
      <c r="HK98" s="43"/>
      <c r="HL98" s="43"/>
      <c r="HM98" s="43"/>
      <c r="HN98" s="43"/>
      <c r="HO98" s="43"/>
      <c r="HP98" s="43"/>
      <c r="HQ98" s="43"/>
      <c r="HR98" s="43"/>
      <c r="HS98" s="43"/>
      <c r="HT98" s="43"/>
      <c r="HU98" s="43"/>
      <c r="HV98" s="43"/>
      <c r="HW98" s="43"/>
      <c r="HX98" s="43"/>
      <c r="HY98" s="43"/>
      <c r="HZ98" s="43"/>
      <c r="IA98" s="43"/>
      <c r="IB98" s="43"/>
      <c r="IC98" s="43"/>
      <c r="ID98" s="43"/>
      <c r="IE98" s="43"/>
      <c r="IF98" s="43"/>
      <c r="IG98" s="43"/>
      <c r="IH98" s="43"/>
      <c r="II98" s="43"/>
      <c r="IJ98" s="43"/>
      <c r="IK98" s="43"/>
      <c r="IL98" s="43"/>
      <c r="IM98" s="43"/>
      <c r="IN98" s="43"/>
      <c r="IO98" s="43"/>
      <c r="IP98" s="43"/>
      <c r="IQ98" s="43"/>
      <c r="IR98" s="43"/>
      <c r="IS98" s="43"/>
      <c r="IT98" s="43"/>
      <c r="IU98" s="43"/>
      <c r="IV98" s="43"/>
    </row>
    <row r="99" spans="1:256" s="29" customFormat="1" x14ac:dyDescent="0.3">
      <c r="A99" s="47" t="s">
        <v>152</v>
      </c>
      <c r="B99" s="117" t="s">
        <v>151</v>
      </c>
      <c r="C99" s="43">
        <v>0</v>
      </c>
      <c r="D99" s="43">
        <v>0</v>
      </c>
      <c r="E99" s="43">
        <v>0</v>
      </c>
      <c r="F99" s="43">
        <v>28.93</v>
      </c>
      <c r="G99" s="43">
        <v>0.18</v>
      </c>
      <c r="H99" s="43">
        <v>31.130000000000003</v>
      </c>
      <c r="I99" s="43">
        <v>2.37</v>
      </c>
      <c r="J99" s="43">
        <v>62.42</v>
      </c>
      <c r="K99" s="43">
        <f>SUM('X-Monthly'!CO99:CZ99)</f>
        <v>5</v>
      </c>
      <c r="L99" s="43">
        <f>SUM('X-Monthly'!DA99:DL99)</f>
        <v>28</v>
      </c>
      <c r="M99" s="43">
        <f>SUM('X-Monthly'!DM99:DX99)</f>
        <v>152.41</v>
      </c>
      <c r="N99" s="43">
        <f>SUM('X-Monthly'!DY99:EJ99)</f>
        <v>103.732</v>
      </c>
      <c r="O99" s="43">
        <f>SUM('X-Monthly'!EK99:EV99)</f>
        <v>87.89</v>
      </c>
      <c r="P99" s="43">
        <v>46194.58</v>
      </c>
      <c r="Q99" s="43">
        <v>231476.02000000002</v>
      </c>
      <c r="R99" s="43">
        <v>237139</v>
      </c>
      <c r="S99" s="43">
        <v>351085.69</v>
      </c>
      <c r="T99" s="43">
        <v>160110.22</v>
      </c>
      <c r="U99" s="43">
        <v>257577.49</v>
      </c>
      <c r="V99" s="43">
        <v>230109</v>
      </c>
      <c r="W99" s="43">
        <v>133718.25</v>
      </c>
      <c r="X99" s="43">
        <v>75426.5</v>
      </c>
      <c r="Y99" s="43">
        <v>645</v>
      </c>
      <c r="Z99" s="43">
        <v>41428</v>
      </c>
      <c r="AA99" s="43">
        <v>57841</v>
      </c>
      <c r="AB99" s="43">
        <v>24414</v>
      </c>
      <c r="AC99" s="43">
        <v>37426</v>
      </c>
      <c r="AD99" s="43">
        <v>21677</v>
      </c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43"/>
      <c r="AS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  <c r="BF99" s="43"/>
      <c r="BG99" s="43"/>
      <c r="BH99" s="43"/>
      <c r="BI99" s="43"/>
      <c r="BJ99" s="43"/>
      <c r="BK99" s="43"/>
      <c r="BL99" s="43"/>
      <c r="BM99" s="43"/>
      <c r="BN99" s="43"/>
      <c r="BO99" s="43"/>
      <c r="BP99" s="43"/>
      <c r="BQ99" s="43"/>
      <c r="BR99" s="43"/>
      <c r="BS99" s="43"/>
      <c r="BT99" s="43"/>
      <c r="BU99" s="43"/>
      <c r="BV99" s="43"/>
      <c r="BW99" s="43"/>
      <c r="BX99" s="43"/>
      <c r="BY99" s="43"/>
      <c r="BZ99" s="43"/>
      <c r="CA99" s="43"/>
      <c r="CB99" s="43"/>
      <c r="CC99" s="43"/>
      <c r="CD99" s="43"/>
      <c r="CE99" s="43"/>
      <c r="CF99" s="43"/>
      <c r="CG99" s="43"/>
      <c r="CH99" s="43"/>
      <c r="CI99" s="43"/>
      <c r="CJ99" s="43"/>
      <c r="CK99" s="43"/>
      <c r="CL99" s="43"/>
      <c r="CM99" s="43"/>
      <c r="CN99" s="43"/>
      <c r="CO99" s="43"/>
      <c r="CP99" s="43"/>
      <c r="CQ99" s="43"/>
      <c r="CR99" s="43"/>
      <c r="CS99" s="43"/>
      <c r="CT99" s="43"/>
      <c r="CU99" s="43"/>
      <c r="CV99" s="43"/>
      <c r="CW99" s="43"/>
      <c r="CX99" s="43"/>
      <c r="CY99" s="43"/>
      <c r="CZ99" s="43"/>
      <c r="DA99" s="43"/>
      <c r="DB99" s="43"/>
      <c r="DC99" s="43"/>
      <c r="DD99" s="43"/>
      <c r="DE99" s="43"/>
      <c r="DF99" s="43"/>
      <c r="DG99" s="43"/>
      <c r="DH99" s="43"/>
      <c r="DI99" s="43"/>
      <c r="DJ99" s="43"/>
      <c r="DK99" s="43"/>
      <c r="DL99" s="43"/>
      <c r="DM99" s="43"/>
      <c r="DN99" s="43"/>
      <c r="DO99" s="43"/>
      <c r="DP99" s="43"/>
      <c r="DQ99" s="43"/>
      <c r="DR99" s="43"/>
      <c r="DS99" s="43"/>
      <c r="DT99" s="43"/>
      <c r="DU99" s="43"/>
      <c r="DV99" s="43"/>
      <c r="DW99" s="43"/>
      <c r="DX99" s="43"/>
      <c r="DY99" s="43"/>
      <c r="DZ99" s="43"/>
      <c r="EA99" s="43"/>
      <c r="EB99" s="43"/>
      <c r="EC99" s="43"/>
      <c r="ED99" s="43"/>
      <c r="EE99" s="43"/>
      <c r="EF99" s="43"/>
      <c r="EG99" s="43"/>
      <c r="EH99" s="43"/>
      <c r="EI99" s="43"/>
      <c r="EJ99" s="43"/>
      <c r="EK99" s="43"/>
      <c r="EL99" s="43"/>
      <c r="EM99" s="43"/>
      <c r="EN99" s="43"/>
      <c r="EO99" s="43"/>
      <c r="EP99" s="43"/>
      <c r="EQ99" s="43"/>
      <c r="ER99" s="43"/>
      <c r="ES99" s="43"/>
      <c r="ET99" s="43"/>
      <c r="EU99" s="43"/>
      <c r="EV99" s="43"/>
      <c r="EW99" s="43"/>
      <c r="EX99" s="43"/>
      <c r="EY99" s="43"/>
      <c r="EZ99" s="43"/>
      <c r="FA99" s="43"/>
      <c r="FB99" s="43"/>
      <c r="FC99" s="43"/>
      <c r="FD99" s="43"/>
      <c r="FE99" s="43"/>
      <c r="FF99" s="43"/>
      <c r="FG99" s="43"/>
      <c r="FH99" s="43"/>
      <c r="FI99" s="43"/>
      <c r="FJ99" s="43"/>
      <c r="FK99" s="43"/>
      <c r="FL99" s="43"/>
      <c r="FM99" s="43"/>
      <c r="FN99" s="43"/>
      <c r="FO99" s="43"/>
      <c r="FP99" s="43"/>
      <c r="FQ99" s="43"/>
      <c r="FR99" s="43"/>
      <c r="FS99" s="43"/>
      <c r="FT99" s="43"/>
      <c r="FU99" s="43"/>
      <c r="FV99" s="43"/>
      <c r="FW99" s="43"/>
      <c r="FX99" s="43"/>
      <c r="FY99" s="43"/>
      <c r="FZ99" s="43"/>
      <c r="GA99" s="43"/>
      <c r="GB99" s="43"/>
      <c r="GC99" s="43"/>
      <c r="GD99" s="43"/>
      <c r="GE99" s="43"/>
      <c r="GF99" s="43"/>
      <c r="GG99" s="43"/>
      <c r="GH99" s="43"/>
      <c r="GI99" s="43"/>
      <c r="GJ99" s="43"/>
      <c r="GK99" s="43"/>
      <c r="GL99" s="43"/>
      <c r="GM99" s="43"/>
      <c r="GN99" s="43"/>
      <c r="GO99" s="43"/>
      <c r="GP99" s="43"/>
      <c r="GQ99" s="43"/>
      <c r="GR99" s="43"/>
      <c r="GS99" s="43"/>
      <c r="GT99" s="43"/>
      <c r="GU99" s="43"/>
      <c r="GV99" s="43"/>
      <c r="GW99" s="43"/>
      <c r="GX99" s="43"/>
      <c r="GY99" s="43"/>
      <c r="GZ99" s="43"/>
      <c r="HA99" s="43"/>
      <c r="HB99" s="43"/>
      <c r="HC99" s="43"/>
      <c r="HD99" s="43"/>
      <c r="HE99" s="43"/>
      <c r="HF99" s="43"/>
      <c r="HG99" s="43"/>
      <c r="HH99" s="43"/>
      <c r="HI99" s="43"/>
      <c r="HJ99" s="43"/>
      <c r="HK99" s="43"/>
      <c r="HL99" s="43"/>
      <c r="HM99" s="43"/>
      <c r="HN99" s="43"/>
      <c r="HO99" s="43"/>
      <c r="HP99" s="43"/>
      <c r="HQ99" s="43"/>
      <c r="HR99" s="43"/>
      <c r="HS99" s="43"/>
      <c r="HT99" s="43"/>
      <c r="HU99" s="43"/>
      <c r="HV99" s="43"/>
      <c r="HW99" s="43"/>
      <c r="HX99" s="43"/>
      <c r="HY99" s="43"/>
      <c r="HZ99" s="43"/>
      <c r="IA99" s="43"/>
      <c r="IB99" s="43"/>
      <c r="IC99" s="43"/>
      <c r="ID99" s="43"/>
      <c r="IE99" s="43"/>
      <c r="IF99" s="43"/>
      <c r="IG99" s="43"/>
      <c r="IH99" s="43"/>
      <c r="II99" s="43"/>
      <c r="IJ99" s="43"/>
      <c r="IK99" s="43"/>
      <c r="IL99" s="43"/>
      <c r="IM99" s="43"/>
      <c r="IN99" s="43"/>
      <c r="IO99" s="43"/>
      <c r="IP99" s="43"/>
      <c r="IQ99" s="43"/>
      <c r="IR99" s="43"/>
      <c r="IS99" s="43"/>
      <c r="IT99" s="43"/>
      <c r="IU99" s="43"/>
      <c r="IV99" s="43"/>
    </row>
    <row r="100" spans="1:256" s="29" customFormat="1" x14ac:dyDescent="0.3">
      <c r="A100" s="47" t="s">
        <v>99</v>
      </c>
      <c r="B100" s="117" t="s">
        <v>100</v>
      </c>
      <c r="C100" s="43">
        <v>0.32599999999999996</v>
      </c>
      <c r="D100" s="43">
        <v>0</v>
      </c>
      <c r="E100" s="43">
        <v>0</v>
      </c>
      <c r="F100" s="43">
        <v>0</v>
      </c>
      <c r="G100" s="43">
        <v>904.85995700000001</v>
      </c>
      <c r="H100" s="43">
        <v>3205.7500000000005</v>
      </c>
      <c r="I100" s="43">
        <v>7781.02</v>
      </c>
      <c r="J100" s="43">
        <v>2132</v>
      </c>
      <c r="K100" s="43">
        <f>SUM('X-Monthly'!CO100:CZ100)</f>
        <v>4631.33</v>
      </c>
      <c r="L100" s="43">
        <f>SUM('X-Monthly'!DA100:DL100)</f>
        <v>3386</v>
      </c>
      <c r="M100" s="43">
        <f>SUM('X-Monthly'!DM100:DX100)</f>
        <v>6641</v>
      </c>
      <c r="N100" s="43">
        <f>SUM('X-Monthly'!DY100:EJ100)</f>
        <v>7111</v>
      </c>
      <c r="O100" s="43">
        <f>SUM('X-Monthly'!EK100:EV100)</f>
        <v>4294.09</v>
      </c>
      <c r="P100" s="43">
        <v>6857</v>
      </c>
      <c r="Q100" s="43">
        <v>5861</v>
      </c>
      <c r="R100" s="43">
        <v>6921</v>
      </c>
      <c r="S100" s="43">
        <v>4307</v>
      </c>
      <c r="T100" s="43">
        <v>1446.47</v>
      </c>
      <c r="U100" s="43">
        <v>875.9</v>
      </c>
      <c r="V100" s="43">
        <v>1443.4399999999998</v>
      </c>
      <c r="W100" s="43">
        <v>190.28000000000003</v>
      </c>
      <c r="X100" s="43">
        <v>349.59</v>
      </c>
      <c r="Y100" s="43">
        <v>494</v>
      </c>
      <c r="Z100" s="43">
        <v>10.803000000000001</v>
      </c>
      <c r="AA100" s="43">
        <v>1117.71</v>
      </c>
      <c r="AB100" s="43">
        <v>8638.66</v>
      </c>
      <c r="AC100" s="43">
        <v>10829.906000000001</v>
      </c>
      <c r="AD100" s="43">
        <v>13216.302</v>
      </c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4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  <c r="BF100" s="43"/>
      <c r="BG100" s="43"/>
      <c r="BH100" s="43"/>
      <c r="BI100" s="43"/>
      <c r="BJ100" s="43"/>
      <c r="BK100" s="43"/>
      <c r="BL100" s="43"/>
      <c r="BM100" s="43"/>
      <c r="BN100" s="43"/>
      <c r="BO100" s="43"/>
      <c r="BP100" s="43"/>
      <c r="BQ100" s="43"/>
      <c r="BR100" s="43"/>
      <c r="BS100" s="43"/>
      <c r="BT100" s="43"/>
      <c r="BU100" s="43"/>
      <c r="BV100" s="43"/>
      <c r="BW100" s="43"/>
      <c r="BX100" s="43"/>
      <c r="BY100" s="43"/>
      <c r="BZ100" s="43"/>
      <c r="CA100" s="43"/>
      <c r="CB100" s="43"/>
      <c r="CC100" s="43"/>
      <c r="CD100" s="43"/>
      <c r="CE100" s="43"/>
      <c r="CF100" s="43"/>
      <c r="CG100" s="43"/>
      <c r="CH100" s="43"/>
      <c r="CI100" s="43"/>
      <c r="CJ100" s="43"/>
      <c r="CK100" s="43"/>
      <c r="CL100" s="43"/>
      <c r="CM100" s="43"/>
      <c r="CN100" s="43"/>
      <c r="CO100" s="43"/>
      <c r="CP100" s="43"/>
      <c r="CQ100" s="43"/>
      <c r="CR100" s="43"/>
      <c r="CS100" s="43"/>
      <c r="CT100" s="43"/>
      <c r="CU100" s="43"/>
      <c r="CV100" s="43"/>
      <c r="CW100" s="43"/>
      <c r="CX100" s="43"/>
      <c r="CY100" s="43"/>
      <c r="CZ100" s="43"/>
      <c r="DA100" s="43"/>
      <c r="DB100" s="43"/>
      <c r="DC100" s="43"/>
      <c r="DD100" s="43"/>
      <c r="DE100" s="43"/>
      <c r="DF100" s="43"/>
      <c r="DG100" s="43"/>
      <c r="DH100" s="43"/>
      <c r="DI100" s="43"/>
      <c r="DJ100" s="43"/>
      <c r="DK100" s="43"/>
      <c r="DL100" s="43"/>
      <c r="DM100" s="43"/>
      <c r="DN100" s="43"/>
      <c r="DO100" s="43"/>
      <c r="DP100" s="43"/>
      <c r="DQ100" s="43"/>
      <c r="DR100" s="43"/>
      <c r="DS100" s="43"/>
      <c r="DT100" s="43"/>
      <c r="DU100" s="43"/>
      <c r="DV100" s="43"/>
      <c r="DW100" s="43"/>
      <c r="DX100" s="43"/>
      <c r="DY100" s="43"/>
      <c r="DZ100" s="43"/>
      <c r="EA100" s="43"/>
      <c r="EB100" s="43"/>
      <c r="EC100" s="43"/>
      <c r="ED100" s="43"/>
      <c r="EE100" s="43"/>
      <c r="EF100" s="43"/>
      <c r="EG100" s="43"/>
      <c r="EH100" s="43"/>
      <c r="EI100" s="43"/>
      <c r="EJ100" s="43"/>
      <c r="EK100" s="43"/>
      <c r="EL100" s="43"/>
      <c r="EM100" s="43"/>
      <c r="EN100" s="43"/>
      <c r="EO100" s="43"/>
      <c r="EP100" s="43"/>
      <c r="EQ100" s="43"/>
      <c r="ER100" s="43"/>
      <c r="ES100" s="43"/>
      <c r="ET100" s="43"/>
      <c r="EU100" s="43"/>
      <c r="EV100" s="43"/>
      <c r="EW100" s="43"/>
      <c r="EX100" s="43"/>
      <c r="EY100" s="43"/>
      <c r="EZ100" s="43"/>
      <c r="FA100" s="43"/>
      <c r="FB100" s="43"/>
      <c r="FC100" s="43"/>
      <c r="FD100" s="43"/>
      <c r="FE100" s="43"/>
      <c r="FF100" s="43"/>
      <c r="FG100" s="43"/>
      <c r="FH100" s="43"/>
      <c r="FI100" s="43"/>
      <c r="FJ100" s="43"/>
      <c r="FK100" s="43"/>
      <c r="FL100" s="43"/>
      <c r="FM100" s="43"/>
      <c r="FN100" s="43"/>
      <c r="FO100" s="43"/>
      <c r="FP100" s="43"/>
      <c r="FQ100" s="43"/>
      <c r="FR100" s="43"/>
      <c r="FS100" s="43"/>
      <c r="FT100" s="43"/>
      <c r="FU100" s="43"/>
      <c r="FV100" s="43"/>
      <c r="FW100" s="43"/>
      <c r="FX100" s="43"/>
      <c r="FY100" s="43"/>
      <c r="FZ100" s="43"/>
      <c r="GA100" s="43"/>
      <c r="GB100" s="43"/>
      <c r="GC100" s="43"/>
      <c r="GD100" s="43"/>
      <c r="GE100" s="43"/>
      <c r="GF100" s="43"/>
      <c r="GG100" s="43"/>
      <c r="GH100" s="43"/>
      <c r="GI100" s="43"/>
      <c r="GJ100" s="43"/>
      <c r="GK100" s="43"/>
      <c r="GL100" s="43"/>
      <c r="GM100" s="43"/>
      <c r="GN100" s="43"/>
      <c r="GO100" s="43"/>
      <c r="GP100" s="43"/>
      <c r="GQ100" s="43"/>
      <c r="GR100" s="43"/>
      <c r="GS100" s="43"/>
      <c r="GT100" s="43"/>
      <c r="GU100" s="43"/>
      <c r="GV100" s="43"/>
      <c r="GW100" s="43"/>
      <c r="GX100" s="43"/>
      <c r="GY100" s="43"/>
      <c r="GZ100" s="43"/>
      <c r="HA100" s="43"/>
      <c r="HB100" s="43"/>
      <c r="HC100" s="43"/>
      <c r="HD100" s="43"/>
      <c r="HE100" s="43"/>
      <c r="HF100" s="43"/>
      <c r="HG100" s="43"/>
      <c r="HH100" s="43"/>
      <c r="HI100" s="43"/>
      <c r="HJ100" s="43"/>
      <c r="HK100" s="43"/>
      <c r="HL100" s="43"/>
      <c r="HM100" s="43"/>
      <c r="HN100" s="43"/>
      <c r="HO100" s="43"/>
      <c r="HP100" s="43"/>
      <c r="HQ100" s="43"/>
      <c r="HR100" s="43"/>
      <c r="HS100" s="43"/>
      <c r="HT100" s="43"/>
      <c r="HU100" s="43"/>
      <c r="HV100" s="43"/>
      <c r="HW100" s="43"/>
      <c r="HX100" s="43"/>
      <c r="HY100" s="43"/>
      <c r="HZ100" s="43"/>
      <c r="IA100" s="43"/>
      <c r="IB100" s="43"/>
      <c r="IC100" s="43"/>
      <c r="ID100" s="43"/>
      <c r="IE100" s="43"/>
      <c r="IF100" s="43"/>
      <c r="IG100" s="43"/>
      <c r="IH100" s="43"/>
      <c r="II100" s="43"/>
      <c r="IJ100" s="43"/>
      <c r="IK100" s="43"/>
      <c r="IL100" s="43"/>
      <c r="IM100" s="43"/>
      <c r="IN100" s="43"/>
      <c r="IO100" s="43"/>
      <c r="IP100" s="43"/>
      <c r="IQ100" s="43"/>
      <c r="IR100" s="43"/>
      <c r="IS100" s="43"/>
      <c r="IT100" s="43"/>
      <c r="IU100" s="43"/>
      <c r="IV100" s="43"/>
    </row>
    <row r="101" spans="1:256" s="29" customFormat="1" x14ac:dyDescent="0.3">
      <c r="A101" s="33" t="s">
        <v>16</v>
      </c>
      <c r="B101" s="118" t="s">
        <v>89</v>
      </c>
      <c r="C101" s="43">
        <v>78.239999999999995</v>
      </c>
      <c r="D101" s="43">
        <v>518.82999999999993</v>
      </c>
      <c r="E101" s="43">
        <v>687.4799999999999</v>
      </c>
      <c r="F101" s="43">
        <v>3996.31</v>
      </c>
      <c r="G101" s="43">
        <v>408.86273899999998</v>
      </c>
      <c r="H101" s="43">
        <v>0</v>
      </c>
      <c r="I101" s="43">
        <v>1629.5026800000001</v>
      </c>
      <c r="J101" s="43">
        <v>0</v>
      </c>
      <c r="K101" s="43">
        <f>SUM('X-Monthly'!CO101:CZ101)</f>
        <v>0</v>
      </c>
      <c r="L101" s="43">
        <f>SUM('X-Monthly'!DA101:DL101)</f>
        <v>223.84</v>
      </c>
      <c r="M101" s="43">
        <f>SUM('X-Monthly'!DM101:DX101)</f>
        <v>634.87</v>
      </c>
      <c r="N101" s="43">
        <f>SUM('X-Monthly'!DY101:EJ101)</f>
        <v>476.28000000000003</v>
      </c>
      <c r="O101" s="43">
        <f>SUM('X-Monthly'!EK101:EV101)</f>
        <v>0</v>
      </c>
      <c r="P101" s="43">
        <v>498.2399999999999</v>
      </c>
      <c r="Q101" s="43">
        <v>592.31999999999994</v>
      </c>
      <c r="R101" s="43">
        <v>694.47</v>
      </c>
      <c r="S101" s="43">
        <v>680.53000000000009</v>
      </c>
      <c r="T101" s="43">
        <v>720.90999999999985</v>
      </c>
      <c r="U101" s="43">
        <v>707.52</v>
      </c>
      <c r="V101" s="43">
        <v>637.86900000000003</v>
      </c>
      <c r="W101" s="43">
        <v>668.71</v>
      </c>
      <c r="X101" s="43">
        <v>540</v>
      </c>
      <c r="Y101" s="43">
        <v>384.39</v>
      </c>
      <c r="Z101" s="43">
        <v>0</v>
      </c>
      <c r="AA101" s="43">
        <v>0</v>
      </c>
      <c r="AB101" s="43">
        <v>0</v>
      </c>
      <c r="AC101" s="43">
        <v>0</v>
      </c>
      <c r="AD101" s="43">
        <v>0</v>
      </c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4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  <c r="BF101" s="43"/>
      <c r="BG101" s="43"/>
      <c r="BH101" s="43"/>
      <c r="BI101" s="43"/>
      <c r="BJ101" s="43"/>
      <c r="BK101" s="43"/>
      <c r="BL101" s="43"/>
      <c r="BM101" s="43"/>
      <c r="BN101" s="43"/>
      <c r="BO101" s="43"/>
      <c r="BP101" s="43"/>
      <c r="BQ101" s="43"/>
      <c r="BR101" s="43"/>
      <c r="BS101" s="43"/>
      <c r="BT101" s="43"/>
      <c r="BU101" s="43"/>
      <c r="BV101" s="43"/>
      <c r="BW101" s="43"/>
      <c r="BX101" s="43"/>
      <c r="BY101" s="43"/>
      <c r="BZ101" s="43"/>
      <c r="CA101" s="43"/>
      <c r="CB101" s="43"/>
      <c r="CC101" s="43"/>
      <c r="CD101" s="43"/>
      <c r="CE101" s="43"/>
      <c r="CF101" s="43"/>
      <c r="CG101" s="43"/>
      <c r="CH101" s="43"/>
      <c r="CI101" s="43"/>
      <c r="CJ101" s="43"/>
      <c r="CK101" s="43"/>
      <c r="CL101" s="43"/>
      <c r="CM101" s="43"/>
      <c r="CN101" s="43"/>
      <c r="CO101" s="43"/>
      <c r="CP101" s="43"/>
      <c r="CQ101" s="43"/>
      <c r="CR101" s="43"/>
      <c r="CS101" s="43"/>
      <c r="CT101" s="43"/>
      <c r="CU101" s="43"/>
      <c r="CV101" s="43"/>
      <c r="CW101" s="43"/>
      <c r="CX101" s="43"/>
      <c r="CY101" s="43"/>
      <c r="CZ101" s="43"/>
      <c r="DA101" s="43"/>
      <c r="DB101" s="43"/>
      <c r="DC101" s="43"/>
      <c r="DD101" s="43"/>
      <c r="DE101" s="43"/>
      <c r="DF101" s="43"/>
      <c r="DG101" s="43"/>
      <c r="DH101" s="43"/>
      <c r="DI101" s="43"/>
      <c r="DJ101" s="43"/>
      <c r="DK101" s="43"/>
      <c r="DL101" s="43"/>
      <c r="DM101" s="43"/>
      <c r="DN101" s="43"/>
      <c r="DO101" s="43"/>
      <c r="DP101" s="43"/>
      <c r="DQ101" s="43"/>
      <c r="DR101" s="43"/>
      <c r="DS101" s="43"/>
      <c r="DT101" s="43"/>
      <c r="DU101" s="43"/>
      <c r="DV101" s="43"/>
      <c r="DW101" s="43"/>
      <c r="DX101" s="43"/>
      <c r="DY101" s="43"/>
      <c r="DZ101" s="43"/>
      <c r="EA101" s="43"/>
      <c r="EB101" s="43"/>
      <c r="EC101" s="43"/>
      <c r="ED101" s="43"/>
      <c r="EE101" s="43"/>
      <c r="EF101" s="43"/>
      <c r="EG101" s="43"/>
      <c r="EH101" s="43"/>
      <c r="EI101" s="43"/>
      <c r="EJ101" s="43"/>
      <c r="EK101" s="43"/>
      <c r="EL101" s="43"/>
      <c r="EM101" s="43"/>
      <c r="EN101" s="43"/>
      <c r="EO101" s="43"/>
      <c r="EP101" s="43"/>
      <c r="EQ101" s="43"/>
      <c r="ER101" s="43"/>
      <c r="ES101" s="43"/>
      <c r="ET101" s="43"/>
      <c r="EU101" s="43"/>
      <c r="EV101" s="43"/>
      <c r="EW101" s="43"/>
      <c r="EX101" s="43"/>
      <c r="EY101" s="43"/>
      <c r="EZ101" s="43"/>
      <c r="FA101" s="43"/>
      <c r="FB101" s="43"/>
      <c r="FC101" s="43"/>
      <c r="FD101" s="43"/>
      <c r="FE101" s="43"/>
      <c r="FF101" s="43"/>
      <c r="FG101" s="43"/>
      <c r="FH101" s="43"/>
      <c r="FI101" s="43"/>
      <c r="FJ101" s="43"/>
      <c r="FK101" s="43"/>
      <c r="FL101" s="43"/>
      <c r="FM101" s="43"/>
      <c r="FN101" s="43"/>
      <c r="FO101" s="43"/>
      <c r="FP101" s="43"/>
      <c r="FQ101" s="43"/>
      <c r="FR101" s="43"/>
      <c r="FS101" s="43"/>
      <c r="FT101" s="43"/>
      <c r="FU101" s="43"/>
      <c r="FV101" s="43"/>
      <c r="FW101" s="43"/>
      <c r="FX101" s="43"/>
      <c r="FY101" s="43"/>
      <c r="FZ101" s="43"/>
      <c r="GA101" s="43"/>
      <c r="GB101" s="43"/>
      <c r="GC101" s="43"/>
      <c r="GD101" s="43"/>
      <c r="GE101" s="43"/>
      <c r="GF101" s="43"/>
      <c r="GG101" s="43"/>
      <c r="GH101" s="43"/>
      <c r="GI101" s="43"/>
      <c r="GJ101" s="43"/>
      <c r="GK101" s="43"/>
      <c r="GL101" s="43"/>
      <c r="GM101" s="43"/>
      <c r="GN101" s="43"/>
      <c r="GO101" s="43"/>
      <c r="GP101" s="43"/>
      <c r="GQ101" s="43"/>
      <c r="GR101" s="43"/>
      <c r="GS101" s="43"/>
      <c r="GT101" s="43"/>
      <c r="GU101" s="43"/>
      <c r="GV101" s="43"/>
      <c r="GW101" s="43"/>
      <c r="GX101" s="43"/>
      <c r="GY101" s="43"/>
      <c r="GZ101" s="43"/>
      <c r="HA101" s="43"/>
      <c r="HB101" s="43"/>
      <c r="HC101" s="43"/>
      <c r="HD101" s="43"/>
      <c r="HE101" s="43"/>
      <c r="HF101" s="43"/>
      <c r="HG101" s="43"/>
      <c r="HH101" s="43"/>
      <c r="HI101" s="43"/>
      <c r="HJ101" s="43"/>
      <c r="HK101" s="43"/>
      <c r="HL101" s="43"/>
      <c r="HM101" s="43"/>
      <c r="HN101" s="43"/>
      <c r="HO101" s="43"/>
      <c r="HP101" s="43"/>
      <c r="HQ101" s="43"/>
      <c r="HR101" s="43"/>
      <c r="HS101" s="43"/>
      <c r="HT101" s="43"/>
      <c r="HU101" s="43"/>
      <c r="HV101" s="43"/>
      <c r="HW101" s="43"/>
      <c r="HX101" s="43"/>
      <c r="HY101" s="43"/>
      <c r="HZ101" s="43"/>
      <c r="IA101" s="43"/>
      <c r="IB101" s="43"/>
      <c r="IC101" s="43"/>
      <c r="ID101" s="43"/>
      <c r="IE101" s="43"/>
      <c r="IF101" s="43"/>
      <c r="IG101" s="43"/>
      <c r="IH101" s="43"/>
      <c r="II101" s="43"/>
      <c r="IJ101" s="43"/>
      <c r="IK101" s="43"/>
      <c r="IL101" s="43"/>
      <c r="IM101" s="43"/>
      <c r="IN101" s="43"/>
      <c r="IO101" s="43"/>
      <c r="IP101" s="43"/>
      <c r="IQ101" s="43"/>
      <c r="IR101" s="43"/>
      <c r="IS101" s="43"/>
      <c r="IT101" s="43"/>
      <c r="IU101" s="43"/>
      <c r="IV101" s="43"/>
    </row>
    <row r="102" spans="1:256" s="29" customFormat="1" x14ac:dyDescent="0.3">
      <c r="A102" s="33" t="s">
        <v>102</v>
      </c>
      <c r="B102" s="118"/>
      <c r="C102" s="43">
        <v>0</v>
      </c>
      <c r="D102" s="43">
        <v>0</v>
      </c>
      <c r="E102" s="43">
        <v>0</v>
      </c>
      <c r="F102" s="43">
        <v>0</v>
      </c>
      <c r="G102" s="43">
        <v>0</v>
      </c>
      <c r="H102" s="43">
        <v>0</v>
      </c>
      <c r="I102" s="43">
        <v>0</v>
      </c>
      <c r="J102" s="43">
        <v>0</v>
      </c>
      <c r="K102" s="43">
        <f>SUM('X-Monthly'!CO102:CZ102)</f>
        <v>0</v>
      </c>
      <c r="L102" s="43">
        <f>SUM('X-Monthly'!DA102:DL102)</f>
        <v>0</v>
      </c>
      <c r="M102" s="43">
        <f>SUM('X-Monthly'!DM102:DX102)</f>
        <v>0</v>
      </c>
      <c r="N102" s="43">
        <f>SUM('X-Monthly'!DY102:EJ102)</f>
        <v>0</v>
      </c>
      <c r="O102" s="43">
        <f>SUM('X-Monthly'!EK102:EV102)</f>
        <v>0</v>
      </c>
      <c r="P102" s="43">
        <v>0</v>
      </c>
      <c r="Q102" s="43">
        <v>0</v>
      </c>
      <c r="R102" s="43">
        <v>0</v>
      </c>
      <c r="S102" s="43">
        <v>0</v>
      </c>
      <c r="T102" s="43">
        <v>0</v>
      </c>
      <c r="U102" s="43">
        <v>0</v>
      </c>
      <c r="V102" s="43">
        <v>0</v>
      </c>
      <c r="W102" s="43">
        <v>2949.99</v>
      </c>
      <c r="X102" s="43">
        <v>19009.236339999999</v>
      </c>
      <c r="Y102" s="43">
        <v>23033.05</v>
      </c>
      <c r="Z102" s="43">
        <v>19072.819000000003</v>
      </c>
      <c r="AA102" s="43">
        <v>26413.248599999999</v>
      </c>
      <c r="AB102" s="43">
        <v>18222.774999999998</v>
      </c>
      <c r="AC102" s="43">
        <v>18743.379000000001</v>
      </c>
      <c r="AD102" s="43">
        <v>14827.124999999998</v>
      </c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  <c r="BF102" s="43"/>
      <c r="BG102" s="43"/>
      <c r="BH102" s="43"/>
      <c r="BI102" s="43"/>
      <c r="BJ102" s="43"/>
      <c r="BK102" s="43"/>
      <c r="BL102" s="43"/>
      <c r="BM102" s="43"/>
      <c r="BN102" s="43"/>
      <c r="BO102" s="43"/>
      <c r="BP102" s="43"/>
      <c r="BQ102" s="43"/>
      <c r="BR102" s="43"/>
      <c r="BS102" s="43"/>
      <c r="BT102" s="43"/>
      <c r="BU102" s="43"/>
      <c r="BV102" s="43"/>
      <c r="BW102" s="43"/>
      <c r="BX102" s="43"/>
      <c r="BY102" s="43"/>
      <c r="BZ102" s="43"/>
      <c r="CA102" s="43"/>
      <c r="CB102" s="43"/>
      <c r="CC102" s="43"/>
      <c r="CD102" s="43"/>
      <c r="CE102" s="43"/>
      <c r="CF102" s="43"/>
      <c r="CG102" s="43"/>
      <c r="CH102" s="43"/>
      <c r="CI102" s="43"/>
      <c r="CJ102" s="43"/>
      <c r="CK102" s="43"/>
      <c r="CL102" s="43"/>
      <c r="CM102" s="43"/>
      <c r="CN102" s="43"/>
      <c r="CO102" s="43"/>
      <c r="CP102" s="43"/>
      <c r="CQ102" s="43"/>
      <c r="CR102" s="43"/>
      <c r="CS102" s="43"/>
      <c r="CT102" s="43"/>
      <c r="CU102" s="43"/>
      <c r="CV102" s="43"/>
      <c r="CW102" s="43"/>
      <c r="CX102" s="43"/>
      <c r="CY102" s="43"/>
      <c r="CZ102" s="43"/>
      <c r="DA102" s="43"/>
      <c r="DB102" s="43"/>
      <c r="DC102" s="43"/>
      <c r="DD102" s="43"/>
      <c r="DE102" s="43"/>
      <c r="DF102" s="43"/>
      <c r="DG102" s="43"/>
      <c r="DH102" s="43"/>
      <c r="DI102" s="43"/>
      <c r="DJ102" s="43"/>
      <c r="DK102" s="43"/>
      <c r="DL102" s="43"/>
      <c r="DM102" s="43"/>
      <c r="DN102" s="43"/>
      <c r="DO102" s="43"/>
      <c r="DP102" s="43"/>
      <c r="DQ102" s="43"/>
      <c r="DR102" s="43"/>
      <c r="DS102" s="43"/>
      <c r="DT102" s="43"/>
      <c r="DU102" s="43"/>
      <c r="DV102" s="43"/>
      <c r="DW102" s="43"/>
      <c r="DX102" s="43"/>
      <c r="DY102" s="43"/>
      <c r="DZ102" s="43"/>
      <c r="EA102" s="43"/>
      <c r="EB102" s="43"/>
      <c r="EC102" s="43"/>
      <c r="ED102" s="43"/>
      <c r="EE102" s="43"/>
      <c r="EF102" s="43"/>
      <c r="EG102" s="43"/>
      <c r="EH102" s="43"/>
      <c r="EI102" s="43"/>
      <c r="EJ102" s="43"/>
      <c r="EK102" s="43"/>
      <c r="EL102" s="43"/>
      <c r="EM102" s="43"/>
      <c r="EN102" s="43"/>
      <c r="EO102" s="43"/>
      <c r="EP102" s="43"/>
      <c r="EQ102" s="43"/>
      <c r="ER102" s="43"/>
      <c r="ES102" s="43"/>
      <c r="ET102" s="43"/>
      <c r="EU102" s="43"/>
      <c r="EV102" s="43"/>
      <c r="EW102" s="43"/>
      <c r="EX102" s="43"/>
      <c r="EY102" s="43"/>
      <c r="EZ102" s="43"/>
      <c r="FA102" s="43"/>
      <c r="FB102" s="43"/>
      <c r="FC102" s="43"/>
      <c r="FD102" s="43"/>
      <c r="FE102" s="43"/>
      <c r="FF102" s="43"/>
      <c r="FG102" s="43"/>
      <c r="FH102" s="43"/>
      <c r="FI102" s="43"/>
      <c r="FJ102" s="43"/>
      <c r="FK102" s="43"/>
      <c r="FL102" s="43"/>
      <c r="FM102" s="43"/>
      <c r="FN102" s="43"/>
      <c r="FO102" s="43"/>
      <c r="FP102" s="43"/>
      <c r="FQ102" s="43"/>
      <c r="FR102" s="43"/>
      <c r="FS102" s="43"/>
      <c r="FT102" s="43"/>
      <c r="FU102" s="43"/>
      <c r="FV102" s="43"/>
      <c r="FW102" s="43"/>
      <c r="FX102" s="43"/>
      <c r="FY102" s="43"/>
      <c r="FZ102" s="43"/>
      <c r="GA102" s="43"/>
      <c r="GB102" s="43"/>
      <c r="GC102" s="43"/>
      <c r="GD102" s="43"/>
      <c r="GE102" s="43"/>
      <c r="GF102" s="43"/>
      <c r="GG102" s="43"/>
      <c r="GH102" s="43"/>
      <c r="GI102" s="43"/>
      <c r="GJ102" s="43"/>
      <c r="GK102" s="43"/>
      <c r="GL102" s="43"/>
      <c r="GM102" s="43"/>
      <c r="GN102" s="43"/>
      <c r="GO102" s="43"/>
      <c r="GP102" s="43"/>
      <c r="GQ102" s="43"/>
      <c r="GR102" s="43"/>
      <c r="GS102" s="43"/>
      <c r="GT102" s="43"/>
      <c r="GU102" s="43"/>
      <c r="GV102" s="43"/>
      <c r="GW102" s="43"/>
      <c r="GX102" s="43"/>
      <c r="GY102" s="43"/>
      <c r="GZ102" s="43"/>
      <c r="HA102" s="43"/>
      <c r="HB102" s="43"/>
      <c r="HC102" s="43"/>
      <c r="HD102" s="43"/>
      <c r="HE102" s="43"/>
      <c r="HF102" s="43"/>
      <c r="HG102" s="43"/>
      <c r="HH102" s="43"/>
      <c r="HI102" s="43"/>
      <c r="HJ102" s="43"/>
      <c r="HK102" s="43"/>
      <c r="HL102" s="43"/>
      <c r="HM102" s="43"/>
      <c r="HN102" s="43"/>
      <c r="HO102" s="43"/>
      <c r="HP102" s="43"/>
      <c r="HQ102" s="43"/>
      <c r="HR102" s="43"/>
      <c r="HS102" s="43"/>
      <c r="HT102" s="43"/>
      <c r="HU102" s="43"/>
      <c r="HV102" s="43"/>
      <c r="HW102" s="43"/>
      <c r="HX102" s="43"/>
      <c r="HY102" s="43"/>
      <c r="HZ102" s="43"/>
      <c r="IA102" s="43"/>
      <c r="IB102" s="43"/>
      <c r="IC102" s="43"/>
      <c r="ID102" s="43"/>
      <c r="IE102" s="43"/>
      <c r="IF102" s="43"/>
      <c r="IG102" s="43"/>
      <c r="IH102" s="43"/>
      <c r="II102" s="43"/>
      <c r="IJ102" s="43"/>
      <c r="IK102" s="43"/>
      <c r="IL102" s="43"/>
      <c r="IM102" s="43"/>
      <c r="IN102" s="43"/>
      <c r="IO102" s="43"/>
      <c r="IP102" s="43"/>
      <c r="IQ102" s="43"/>
      <c r="IR102" s="43"/>
      <c r="IS102" s="43"/>
      <c r="IT102" s="43"/>
      <c r="IU102" s="43"/>
      <c r="IV102" s="43"/>
    </row>
    <row r="103" spans="1:256" s="29" customFormat="1" x14ac:dyDescent="0.3">
      <c r="A103" s="33" t="s">
        <v>35</v>
      </c>
      <c r="B103" s="114"/>
      <c r="C103" s="43">
        <v>0</v>
      </c>
      <c r="D103" s="43">
        <v>0</v>
      </c>
      <c r="E103" s="43">
        <v>0</v>
      </c>
      <c r="F103" s="43">
        <v>2365.7800000000002</v>
      </c>
      <c r="G103" s="43">
        <v>170604.31</v>
      </c>
      <c r="H103" s="43">
        <v>1230458.99</v>
      </c>
      <c r="I103" s="43">
        <v>574.57399999999996</v>
      </c>
      <c r="J103" s="43">
        <v>0</v>
      </c>
      <c r="K103" s="43">
        <f>SUM('X-Monthly'!CO103:CZ103)</f>
        <v>0</v>
      </c>
      <c r="L103" s="43">
        <f>SUM('X-Monthly'!DA103:DL103)</f>
        <v>971.60399999999993</v>
      </c>
      <c r="M103" s="43">
        <f>SUM('X-Monthly'!DM103:DX103)</f>
        <v>0</v>
      </c>
      <c r="N103" s="43">
        <f>SUM('X-Monthly'!DY103:EJ103)</f>
        <v>790.25</v>
      </c>
      <c r="O103" s="43">
        <f>SUM('X-Monthly'!EK103:EV103)</f>
        <v>0</v>
      </c>
      <c r="P103" s="43">
        <v>0</v>
      </c>
      <c r="Q103" s="43">
        <v>0</v>
      </c>
      <c r="R103" s="43">
        <v>0</v>
      </c>
      <c r="S103" s="43">
        <v>2248.38</v>
      </c>
      <c r="T103" s="43">
        <v>6635.76</v>
      </c>
      <c r="U103" s="43">
        <v>0</v>
      </c>
      <c r="V103" s="43">
        <v>0</v>
      </c>
      <c r="W103" s="43">
        <v>0</v>
      </c>
      <c r="X103" s="43">
        <v>23761.756769999996</v>
      </c>
      <c r="Y103" s="43">
        <v>37725.919999999998</v>
      </c>
      <c r="Z103" s="43">
        <v>30761.850999999999</v>
      </c>
      <c r="AA103" s="43">
        <v>35759.2575</v>
      </c>
      <c r="AB103" s="43">
        <v>42342.643000000004</v>
      </c>
      <c r="AC103" s="43">
        <v>41202.631999999998</v>
      </c>
      <c r="AD103" s="43">
        <v>45659.775899999993</v>
      </c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4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  <c r="BF103" s="43"/>
      <c r="BG103" s="43"/>
      <c r="BH103" s="43"/>
      <c r="BI103" s="43"/>
      <c r="BJ103" s="43"/>
      <c r="BK103" s="43"/>
      <c r="BL103" s="43"/>
      <c r="BM103" s="43"/>
      <c r="BN103" s="43"/>
      <c r="BO103" s="43"/>
      <c r="BP103" s="43"/>
      <c r="BQ103" s="43"/>
      <c r="BR103" s="43"/>
      <c r="BS103" s="43"/>
      <c r="BT103" s="43"/>
      <c r="BU103" s="43"/>
      <c r="BV103" s="43"/>
      <c r="BW103" s="43"/>
      <c r="BX103" s="43"/>
      <c r="BY103" s="43"/>
      <c r="BZ103" s="43"/>
      <c r="CA103" s="43"/>
      <c r="CB103" s="43"/>
      <c r="CC103" s="43"/>
      <c r="CD103" s="43"/>
      <c r="CE103" s="43"/>
      <c r="CF103" s="43"/>
      <c r="CG103" s="43"/>
      <c r="CH103" s="43"/>
      <c r="CI103" s="43"/>
      <c r="CJ103" s="43"/>
      <c r="CK103" s="43"/>
      <c r="CL103" s="43"/>
      <c r="CM103" s="43"/>
      <c r="CN103" s="43"/>
      <c r="CO103" s="43"/>
      <c r="CP103" s="43"/>
      <c r="CQ103" s="43"/>
      <c r="CR103" s="43"/>
      <c r="CS103" s="43"/>
      <c r="CT103" s="43"/>
      <c r="CU103" s="43"/>
      <c r="CV103" s="43"/>
      <c r="CW103" s="43"/>
      <c r="CX103" s="43"/>
      <c r="CY103" s="43"/>
      <c r="CZ103" s="43"/>
      <c r="DA103" s="43"/>
      <c r="DB103" s="43"/>
      <c r="DC103" s="43"/>
      <c r="DD103" s="43"/>
      <c r="DE103" s="43"/>
      <c r="DF103" s="43"/>
      <c r="DG103" s="43"/>
      <c r="DH103" s="43"/>
      <c r="DI103" s="43"/>
      <c r="DJ103" s="43"/>
      <c r="DK103" s="43"/>
      <c r="DL103" s="43"/>
      <c r="DM103" s="43"/>
      <c r="DN103" s="43"/>
      <c r="DO103" s="43"/>
      <c r="DP103" s="43"/>
      <c r="DQ103" s="43"/>
      <c r="DR103" s="43"/>
      <c r="DS103" s="43"/>
      <c r="DT103" s="43"/>
      <c r="DU103" s="43"/>
      <c r="DV103" s="43"/>
      <c r="DW103" s="43"/>
      <c r="DX103" s="43"/>
      <c r="DY103" s="43"/>
      <c r="DZ103" s="43"/>
      <c r="EA103" s="43"/>
      <c r="EB103" s="43"/>
      <c r="EC103" s="43"/>
      <c r="ED103" s="43"/>
      <c r="EE103" s="43"/>
      <c r="EF103" s="43"/>
      <c r="EG103" s="43"/>
      <c r="EH103" s="43"/>
      <c r="EI103" s="43"/>
      <c r="EJ103" s="43"/>
      <c r="EK103" s="43"/>
      <c r="EL103" s="43"/>
      <c r="EM103" s="43"/>
      <c r="EN103" s="43"/>
      <c r="EO103" s="43"/>
      <c r="EP103" s="43"/>
      <c r="EQ103" s="43"/>
      <c r="ER103" s="43"/>
      <c r="ES103" s="43"/>
      <c r="ET103" s="43"/>
      <c r="EU103" s="43"/>
      <c r="EV103" s="43"/>
      <c r="EW103" s="43"/>
      <c r="EX103" s="43"/>
      <c r="EY103" s="43"/>
      <c r="EZ103" s="43"/>
      <c r="FA103" s="43"/>
      <c r="FB103" s="43"/>
      <c r="FC103" s="43"/>
      <c r="FD103" s="43"/>
      <c r="FE103" s="43"/>
      <c r="FF103" s="43"/>
      <c r="FG103" s="43"/>
      <c r="FH103" s="43"/>
      <c r="FI103" s="43"/>
      <c r="FJ103" s="43"/>
      <c r="FK103" s="43"/>
      <c r="FL103" s="43"/>
      <c r="FM103" s="43"/>
      <c r="FN103" s="43"/>
      <c r="FO103" s="43"/>
      <c r="FP103" s="43"/>
      <c r="FQ103" s="43"/>
      <c r="FR103" s="43"/>
      <c r="FS103" s="43"/>
      <c r="FT103" s="43"/>
      <c r="FU103" s="43"/>
      <c r="FV103" s="43"/>
      <c r="FW103" s="43"/>
      <c r="FX103" s="43"/>
      <c r="FY103" s="43"/>
      <c r="FZ103" s="43"/>
      <c r="GA103" s="43"/>
      <c r="GB103" s="43"/>
      <c r="GC103" s="43"/>
      <c r="GD103" s="43"/>
      <c r="GE103" s="43"/>
      <c r="GF103" s="43"/>
      <c r="GG103" s="43"/>
      <c r="GH103" s="43"/>
      <c r="GI103" s="43"/>
      <c r="GJ103" s="43"/>
      <c r="GK103" s="43"/>
      <c r="GL103" s="43"/>
      <c r="GM103" s="43"/>
      <c r="GN103" s="43"/>
      <c r="GO103" s="43"/>
      <c r="GP103" s="43"/>
      <c r="GQ103" s="43"/>
      <c r="GR103" s="43"/>
      <c r="GS103" s="43"/>
      <c r="GT103" s="43"/>
      <c r="GU103" s="43"/>
      <c r="GV103" s="43"/>
      <c r="GW103" s="43"/>
      <c r="GX103" s="43"/>
      <c r="GY103" s="43"/>
      <c r="GZ103" s="43"/>
      <c r="HA103" s="43"/>
      <c r="HB103" s="43"/>
      <c r="HC103" s="43"/>
      <c r="HD103" s="43"/>
      <c r="HE103" s="43"/>
      <c r="HF103" s="43"/>
      <c r="HG103" s="43"/>
      <c r="HH103" s="43"/>
      <c r="HI103" s="43"/>
      <c r="HJ103" s="43"/>
      <c r="HK103" s="43"/>
      <c r="HL103" s="43"/>
      <c r="HM103" s="43"/>
      <c r="HN103" s="43"/>
      <c r="HO103" s="43"/>
      <c r="HP103" s="43"/>
      <c r="HQ103" s="43"/>
      <c r="HR103" s="43"/>
      <c r="HS103" s="43"/>
      <c r="HT103" s="43"/>
      <c r="HU103" s="43"/>
      <c r="HV103" s="43"/>
      <c r="HW103" s="43"/>
      <c r="HX103" s="43"/>
      <c r="HY103" s="43"/>
      <c r="HZ103" s="43"/>
      <c r="IA103" s="43"/>
      <c r="IB103" s="43"/>
      <c r="IC103" s="43"/>
      <c r="ID103" s="43"/>
      <c r="IE103" s="43"/>
      <c r="IF103" s="43"/>
      <c r="IG103" s="43"/>
      <c r="IH103" s="43"/>
      <c r="II103" s="43"/>
      <c r="IJ103" s="43"/>
      <c r="IK103" s="43"/>
      <c r="IL103" s="43"/>
      <c r="IM103" s="43"/>
      <c r="IN103" s="43"/>
      <c r="IO103" s="43"/>
      <c r="IP103" s="43"/>
      <c r="IQ103" s="43"/>
      <c r="IR103" s="43"/>
      <c r="IS103" s="43"/>
      <c r="IT103" s="43"/>
      <c r="IU103" s="43"/>
      <c r="IV103" s="43"/>
    </row>
    <row r="104" spans="1:256" s="29" customFormat="1" x14ac:dyDescent="0.3">
      <c r="A104" s="33" t="s">
        <v>33</v>
      </c>
      <c r="B104" s="114"/>
      <c r="C104" s="43">
        <v>0</v>
      </c>
      <c r="D104" s="43">
        <v>0</v>
      </c>
      <c r="E104" s="43">
        <v>0</v>
      </c>
      <c r="F104" s="43">
        <v>0</v>
      </c>
      <c r="G104" s="43">
        <v>232109.53</v>
      </c>
      <c r="H104" s="43">
        <v>27087.99</v>
      </c>
      <c r="I104" s="43">
        <v>178.42</v>
      </c>
      <c r="J104" s="43">
        <v>0</v>
      </c>
      <c r="K104" s="43">
        <f>SUM('X-Monthly'!CO104:CZ104)</f>
        <v>52.46</v>
      </c>
      <c r="L104" s="43">
        <f>SUM('X-Monthly'!DA104:DL104)</f>
        <v>140.78300000000002</v>
      </c>
      <c r="M104" s="43">
        <f>SUM('X-Monthly'!DM104:DX104)</f>
        <v>0.03</v>
      </c>
      <c r="N104" s="43">
        <f>SUM('X-Monthly'!DY104:EJ104)</f>
        <v>308.10000000000002</v>
      </c>
      <c r="O104" s="43">
        <f>SUM('X-Monthly'!EK104:EV104)</f>
        <v>0</v>
      </c>
      <c r="P104" s="43">
        <v>0</v>
      </c>
      <c r="Q104" s="43">
        <v>0</v>
      </c>
      <c r="R104" s="43">
        <v>5419.56</v>
      </c>
      <c r="S104" s="43">
        <v>645.66</v>
      </c>
      <c r="T104" s="43">
        <v>0</v>
      </c>
      <c r="U104" s="43">
        <v>0</v>
      </c>
      <c r="V104" s="43">
        <v>0</v>
      </c>
      <c r="W104" s="43">
        <v>0</v>
      </c>
      <c r="X104" s="43">
        <v>12351.135419999999</v>
      </c>
      <c r="Y104" s="43">
        <v>15832.330000000002</v>
      </c>
      <c r="Z104" s="43">
        <v>21834.755000000001</v>
      </c>
      <c r="AA104" s="43">
        <v>24918.412800000002</v>
      </c>
      <c r="AB104" s="43">
        <v>18095.913</v>
      </c>
      <c r="AC104" s="43">
        <v>22875.185300000001</v>
      </c>
      <c r="AD104" s="43">
        <v>21322.55229</v>
      </c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  <c r="AS104" s="4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  <c r="BF104" s="43"/>
      <c r="BG104" s="43"/>
      <c r="BH104" s="43"/>
      <c r="BI104" s="43"/>
      <c r="BJ104" s="43"/>
      <c r="BK104" s="43"/>
      <c r="BL104" s="43"/>
      <c r="BM104" s="43"/>
      <c r="BN104" s="43"/>
      <c r="BO104" s="43"/>
      <c r="BP104" s="43"/>
      <c r="BQ104" s="43"/>
      <c r="BR104" s="43"/>
      <c r="BS104" s="43"/>
      <c r="BT104" s="43"/>
      <c r="BU104" s="43"/>
      <c r="BV104" s="43"/>
      <c r="BW104" s="43"/>
      <c r="BX104" s="43"/>
      <c r="BY104" s="43"/>
      <c r="BZ104" s="43"/>
      <c r="CA104" s="43"/>
      <c r="CB104" s="43"/>
      <c r="CC104" s="43"/>
      <c r="CD104" s="43"/>
      <c r="CE104" s="43"/>
      <c r="CF104" s="43"/>
      <c r="CG104" s="43"/>
      <c r="CH104" s="43"/>
      <c r="CI104" s="43"/>
      <c r="CJ104" s="43"/>
      <c r="CK104" s="43"/>
      <c r="CL104" s="43"/>
      <c r="CM104" s="43"/>
      <c r="CN104" s="43"/>
      <c r="CO104" s="43"/>
      <c r="CP104" s="43"/>
      <c r="CQ104" s="43"/>
      <c r="CR104" s="43"/>
      <c r="CS104" s="43"/>
      <c r="CT104" s="43"/>
      <c r="CU104" s="43"/>
      <c r="CV104" s="43"/>
      <c r="CW104" s="43"/>
      <c r="CX104" s="43"/>
      <c r="CY104" s="43"/>
      <c r="CZ104" s="43"/>
      <c r="DA104" s="43"/>
      <c r="DB104" s="43"/>
      <c r="DC104" s="43"/>
      <c r="DD104" s="43"/>
      <c r="DE104" s="43"/>
      <c r="DF104" s="43"/>
      <c r="DG104" s="43"/>
      <c r="DH104" s="43"/>
      <c r="DI104" s="43"/>
      <c r="DJ104" s="43"/>
      <c r="DK104" s="43"/>
      <c r="DL104" s="43"/>
      <c r="DM104" s="43"/>
      <c r="DN104" s="43"/>
      <c r="DO104" s="43"/>
      <c r="DP104" s="43"/>
      <c r="DQ104" s="43"/>
      <c r="DR104" s="43"/>
      <c r="DS104" s="43"/>
      <c r="DT104" s="43"/>
      <c r="DU104" s="43"/>
      <c r="DV104" s="43"/>
      <c r="DW104" s="43"/>
      <c r="DX104" s="43"/>
      <c r="DY104" s="43"/>
      <c r="DZ104" s="43"/>
      <c r="EA104" s="43"/>
      <c r="EB104" s="43"/>
      <c r="EC104" s="43"/>
      <c r="ED104" s="43"/>
      <c r="EE104" s="43"/>
      <c r="EF104" s="43"/>
      <c r="EG104" s="43"/>
      <c r="EH104" s="43"/>
      <c r="EI104" s="43"/>
      <c r="EJ104" s="43"/>
      <c r="EK104" s="43"/>
      <c r="EL104" s="43"/>
      <c r="EM104" s="43"/>
      <c r="EN104" s="43"/>
      <c r="EO104" s="43"/>
      <c r="EP104" s="43"/>
      <c r="EQ104" s="43"/>
      <c r="ER104" s="43"/>
      <c r="ES104" s="43"/>
      <c r="ET104" s="43"/>
      <c r="EU104" s="43"/>
      <c r="EV104" s="43"/>
      <c r="EW104" s="43"/>
      <c r="EX104" s="43"/>
      <c r="EY104" s="43"/>
      <c r="EZ104" s="43"/>
      <c r="FA104" s="43"/>
      <c r="FB104" s="43"/>
      <c r="FC104" s="43"/>
      <c r="FD104" s="43"/>
      <c r="FE104" s="43"/>
      <c r="FF104" s="43"/>
      <c r="FG104" s="43"/>
      <c r="FH104" s="43"/>
      <c r="FI104" s="43"/>
      <c r="FJ104" s="43"/>
      <c r="FK104" s="43"/>
      <c r="FL104" s="43"/>
      <c r="FM104" s="43"/>
      <c r="FN104" s="43"/>
      <c r="FO104" s="43"/>
      <c r="FP104" s="43"/>
      <c r="FQ104" s="43"/>
      <c r="FR104" s="43"/>
      <c r="FS104" s="43"/>
      <c r="FT104" s="43"/>
      <c r="FU104" s="43"/>
      <c r="FV104" s="43"/>
      <c r="FW104" s="43"/>
      <c r="FX104" s="43"/>
      <c r="FY104" s="43"/>
      <c r="FZ104" s="43"/>
      <c r="GA104" s="43"/>
      <c r="GB104" s="43"/>
      <c r="GC104" s="43"/>
      <c r="GD104" s="43"/>
      <c r="GE104" s="43"/>
      <c r="GF104" s="43"/>
      <c r="GG104" s="43"/>
      <c r="GH104" s="43"/>
      <c r="GI104" s="43"/>
      <c r="GJ104" s="43"/>
      <c r="GK104" s="43"/>
      <c r="GL104" s="43"/>
      <c r="GM104" s="43"/>
      <c r="GN104" s="43"/>
      <c r="GO104" s="43"/>
      <c r="GP104" s="43"/>
      <c r="GQ104" s="43"/>
      <c r="GR104" s="43"/>
      <c r="GS104" s="43"/>
      <c r="GT104" s="43"/>
      <c r="GU104" s="43"/>
      <c r="GV104" s="43"/>
      <c r="GW104" s="43"/>
      <c r="GX104" s="43"/>
      <c r="GY104" s="43"/>
      <c r="GZ104" s="43"/>
      <c r="HA104" s="43"/>
      <c r="HB104" s="43"/>
      <c r="HC104" s="43"/>
      <c r="HD104" s="43"/>
      <c r="HE104" s="43"/>
      <c r="HF104" s="43"/>
      <c r="HG104" s="43"/>
      <c r="HH104" s="43"/>
      <c r="HI104" s="43"/>
      <c r="HJ104" s="43"/>
      <c r="HK104" s="43"/>
      <c r="HL104" s="43"/>
      <c r="HM104" s="43"/>
      <c r="HN104" s="43"/>
      <c r="HO104" s="43"/>
      <c r="HP104" s="43"/>
      <c r="HQ104" s="43"/>
      <c r="HR104" s="43"/>
      <c r="HS104" s="43"/>
      <c r="HT104" s="43"/>
      <c r="HU104" s="43"/>
      <c r="HV104" s="43"/>
      <c r="HW104" s="43"/>
      <c r="HX104" s="43"/>
      <c r="HY104" s="43"/>
      <c r="HZ104" s="43"/>
      <c r="IA104" s="43"/>
      <c r="IB104" s="43"/>
      <c r="IC104" s="43"/>
      <c r="ID104" s="43"/>
      <c r="IE104" s="43"/>
      <c r="IF104" s="43"/>
      <c r="IG104" s="43"/>
      <c r="IH104" s="43"/>
      <c r="II104" s="43"/>
      <c r="IJ104" s="43"/>
      <c r="IK104" s="43"/>
      <c r="IL104" s="43"/>
      <c r="IM104" s="43"/>
      <c r="IN104" s="43"/>
      <c r="IO104" s="43"/>
      <c r="IP104" s="43"/>
      <c r="IQ104" s="43"/>
      <c r="IR104" s="43"/>
      <c r="IS104" s="43"/>
      <c r="IT104" s="43"/>
      <c r="IU104" s="43"/>
      <c r="IV104" s="43"/>
    </row>
    <row r="105" spans="1:256" s="29" customFormat="1" ht="18" x14ac:dyDescent="0.3">
      <c r="A105" s="33" t="s">
        <v>103</v>
      </c>
      <c r="B105" s="114" t="s">
        <v>158</v>
      </c>
      <c r="C105" s="43">
        <v>0</v>
      </c>
      <c r="D105" s="43">
        <v>0</v>
      </c>
      <c r="E105" s="43">
        <v>0</v>
      </c>
      <c r="F105" s="43">
        <v>900.18600000000004</v>
      </c>
      <c r="G105" s="43">
        <v>7218.25</v>
      </c>
      <c r="H105" s="43">
        <v>9740.4959999999992</v>
      </c>
      <c r="I105" s="43">
        <v>30250.304</v>
      </c>
      <c r="J105" s="43">
        <v>51479.369000000006</v>
      </c>
      <c r="K105" s="43">
        <f>SUM('X-Monthly'!CO105:CZ105)</f>
        <v>0</v>
      </c>
      <c r="L105" s="43">
        <f>SUM('X-Monthly'!DA105:DL105)</f>
        <v>7109.15</v>
      </c>
      <c r="M105" s="43">
        <f>SUM('X-Monthly'!DM105:DX105)</f>
        <v>22039.78</v>
      </c>
      <c r="N105" s="43">
        <f>SUM('X-Monthly'!DY105:EJ105)</f>
        <v>18065.225999999999</v>
      </c>
      <c r="O105" s="43">
        <f>SUM('X-Monthly'!EK105:EV105)</f>
        <v>60483.76</v>
      </c>
      <c r="P105" s="43">
        <v>65181.799999999996</v>
      </c>
      <c r="Q105" s="43">
        <v>74574.890000000014</v>
      </c>
      <c r="R105" s="43">
        <v>78401.62999999999</v>
      </c>
      <c r="S105" s="43">
        <v>78903.62000000001</v>
      </c>
      <c r="T105" s="43">
        <v>11988.91</v>
      </c>
      <c r="U105" s="43">
        <v>8818.57</v>
      </c>
      <c r="V105" s="44" t="s">
        <v>93</v>
      </c>
      <c r="W105" s="44" t="s">
        <v>93</v>
      </c>
      <c r="X105" s="44" t="s">
        <v>93</v>
      </c>
      <c r="Y105" s="44">
        <v>87031.092349999992</v>
      </c>
      <c r="Z105" s="44">
        <v>115596.645</v>
      </c>
      <c r="AA105" s="44">
        <v>122195.56049999999</v>
      </c>
      <c r="AB105" s="44">
        <v>110819.84065000003</v>
      </c>
      <c r="AC105" s="43">
        <v>118765.5955</v>
      </c>
      <c r="AD105" s="43">
        <v>119226.647</v>
      </c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43"/>
      <c r="AR105" s="43"/>
      <c r="AS105" s="4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  <c r="BF105" s="43"/>
      <c r="BG105" s="43"/>
      <c r="BH105" s="43"/>
      <c r="BI105" s="43"/>
      <c r="BJ105" s="43"/>
      <c r="BK105" s="43"/>
      <c r="BL105" s="43"/>
      <c r="BM105" s="43"/>
      <c r="BN105" s="43"/>
      <c r="BO105" s="43"/>
      <c r="BP105" s="43"/>
      <c r="BQ105" s="43"/>
      <c r="BR105" s="43"/>
      <c r="BS105" s="43"/>
      <c r="BT105" s="43"/>
      <c r="BU105" s="43"/>
      <c r="BV105" s="43"/>
      <c r="BW105" s="43"/>
      <c r="BX105" s="43"/>
      <c r="BY105" s="43"/>
      <c r="BZ105" s="43"/>
      <c r="CA105" s="43"/>
      <c r="CB105" s="43"/>
      <c r="CC105" s="43"/>
      <c r="CD105" s="43"/>
      <c r="CE105" s="43"/>
      <c r="CF105" s="43"/>
      <c r="CG105" s="43"/>
      <c r="CH105" s="43"/>
      <c r="CI105" s="43"/>
      <c r="CJ105" s="43"/>
      <c r="CK105" s="43"/>
      <c r="CL105" s="43"/>
      <c r="CM105" s="43"/>
      <c r="CN105" s="43"/>
      <c r="CO105" s="43"/>
      <c r="CP105" s="43"/>
      <c r="CQ105" s="43"/>
      <c r="CR105" s="43"/>
      <c r="CS105" s="43"/>
      <c r="CT105" s="43"/>
      <c r="CU105" s="43"/>
      <c r="CV105" s="43"/>
      <c r="CW105" s="43"/>
      <c r="CX105" s="43"/>
      <c r="CY105" s="43"/>
      <c r="CZ105" s="43"/>
      <c r="DA105" s="43"/>
      <c r="DB105" s="43"/>
      <c r="DC105" s="43"/>
      <c r="DD105" s="43"/>
      <c r="DE105" s="43"/>
      <c r="DF105" s="43"/>
      <c r="DG105" s="43"/>
      <c r="DH105" s="43"/>
      <c r="DI105" s="43"/>
      <c r="DJ105" s="43"/>
      <c r="DK105" s="43"/>
      <c r="DL105" s="43"/>
      <c r="DM105" s="43"/>
      <c r="DN105" s="43"/>
      <c r="DO105" s="43"/>
      <c r="DP105" s="43"/>
      <c r="DQ105" s="43"/>
      <c r="DR105" s="43"/>
      <c r="DS105" s="43"/>
      <c r="DT105" s="43"/>
      <c r="DU105" s="43"/>
      <c r="DV105" s="43"/>
      <c r="DW105" s="43"/>
      <c r="DX105" s="43"/>
      <c r="DY105" s="43"/>
      <c r="DZ105" s="43"/>
      <c r="EA105" s="43"/>
      <c r="EB105" s="43"/>
      <c r="EC105" s="43"/>
      <c r="ED105" s="43"/>
      <c r="EE105" s="43"/>
      <c r="EF105" s="43"/>
      <c r="EG105" s="43"/>
      <c r="EH105" s="43"/>
      <c r="EI105" s="43"/>
      <c r="EJ105" s="43"/>
      <c r="EK105" s="43"/>
      <c r="EL105" s="43"/>
      <c r="EM105" s="43"/>
      <c r="EN105" s="43"/>
      <c r="EO105" s="43"/>
      <c r="EP105" s="43"/>
      <c r="EQ105" s="43"/>
      <c r="ER105" s="43"/>
      <c r="ES105" s="43"/>
      <c r="ET105" s="43"/>
      <c r="EU105" s="43"/>
      <c r="EV105" s="43"/>
      <c r="EW105" s="43"/>
      <c r="EX105" s="43"/>
      <c r="EY105" s="43"/>
      <c r="EZ105" s="43"/>
      <c r="FA105" s="43"/>
      <c r="FB105" s="43"/>
      <c r="FC105" s="43"/>
      <c r="FD105" s="43"/>
      <c r="FE105" s="43"/>
      <c r="FF105" s="43"/>
      <c r="FG105" s="43"/>
      <c r="FH105" s="43"/>
      <c r="FI105" s="43"/>
      <c r="FJ105" s="43"/>
      <c r="FK105" s="43"/>
      <c r="FL105" s="43"/>
      <c r="FM105" s="43"/>
      <c r="FN105" s="43"/>
      <c r="FO105" s="43"/>
      <c r="FP105" s="43"/>
      <c r="FQ105" s="43"/>
      <c r="FR105" s="43"/>
      <c r="FS105" s="43"/>
      <c r="FT105" s="43"/>
      <c r="FU105" s="43"/>
      <c r="FV105" s="43"/>
      <c r="FW105" s="43"/>
      <c r="FX105" s="43"/>
      <c r="FY105" s="43"/>
      <c r="FZ105" s="43"/>
      <c r="GA105" s="43"/>
      <c r="GB105" s="43"/>
      <c r="GC105" s="43"/>
      <c r="GD105" s="43"/>
      <c r="GE105" s="43"/>
      <c r="GF105" s="43"/>
      <c r="GG105" s="43"/>
      <c r="GH105" s="43"/>
      <c r="GI105" s="43"/>
      <c r="GJ105" s="43"/>
      <c r="GK105" s="43"/>
      <c r="GL105" s="43"/>
      <c r="GM105" s="43"/>
      <c r="GN105" s="43"/>
      <c r="GO105" s="43"/>
      <c r="GP105" s="43"/>
      <c r="GQ105" s="43"/>
      <c r="GR105" s="43"/>
      <c r="GS105" s="43"/>
      <c r="GT105" s="43"/>
      <c r="GU105" s="43"/>
      <c r="GV105" s="43"/>
      <c r="GW105" s="43"/>
      <c r="GX105" s="43"/>
      <c r="GY105" s="43"/>
      <c r="GZ105" s="43"/>
      <c r="HA105" s="43"/>
      <c r="HB105" s="43"/>
      <c r="HC105" s="43"/>
      <c r="HD105" s="43"/>
      <c r="HE105" s="43"/>
      <c r="HF105" s="43"/>
      <c r="HG105" s="43"/>
      <c r="HH105" s="43"/>
      <c r="HI105" s="43"/>
      <c r="HJ105" s="43"/>
      <c r="HK105" s="43"/>
      <c r="HL105" s="43"/>
      <c r="HM105" s="43"/>
      <c r="HN105" s="43"/>
      <c r="HO105" s="43"/>
      <c r="HP105" s="43"/>
      <c r="HQ105" s="43"/>
      <c r="HR105" s="43"/>
      <c r="HS105" s="43"/>
      <c r="HT105" s="43"/>
      <c r="HU105" s="43"/>
      <c r="HV105" s="43"/>
      <c r="HW105" s="43"/>
      <c r="HX105" s="43"/>
      <c r="HY105" s="43"/>
      <c r="HZ105" s="43"/>
      <c r="IA105" s="43"/>
      <c r="IB105" s="43"/>
      <c r="IC105" s="43"/>
      <c r="ID105" s="43"/>
      <c r="IE105" s="43"/>
      <c r="IF105" s="43"/>
      <c r="IG105" s="43"/>
      <c r="IH105" s="43"/>
      <c r="II105" s="43"/>
      <c r="IJ105" s="43"/>
      <c r="IK105" s="43"/>
      <c r="IL105" s="43"/>
      <c r="IM105" s="43"/>
      <c r="IN105" s="43"/>
      <c r="IO105" s="43"/>
      <c r="IP105" s="43"/>
      <c r="IQ105" s="43"/>
      <c r="IR105" s="43"/>
      <c r="IS105" s="43"/>
      <c r="IT105" s="43"/>
      <c r="IU105" s="43"/>
      <c r="IV105" s="43"/>
    </row>
    <row r="106" spans="1:256" s="29" customFormat="1" x14ac:dyDescent="0.3">
      <c r="A106" s="33" t="s">
        <v>163</v>
      </c>
      <c r="B106" s="118" t="s">
        <v>104</v>
      </c>
      <c r="C106" s="43">
        <v>0</v>
      </c>
      <c r="D106" s="43">
        <v>148.4</v>
      </c>
      <c r="E106" s="43">
        <v>189.20000000000002</v>
      </c>
      <c r="F106" s="43">
        <v>80.912739999999999</v>
      </c>
      <c r="G106" s="43">
        <v>194.77734999999998</v>
      </c>
      <c r="H106" s="43">
        <v>116.59257699999999</v>
      </c>
      <c r="I106" s="43">
        <v>169.50789599999996</v>
      </c>
      <c r="J106" s="43">
        <v>158.994148</v>
      </c>
      <c r="K106" s="43">
        <f>SUM('X-Monthly'!CO106:CZ106)</f>
        <v>175.26778399999998</v>
      </c>
      <c r="L106" s="43">
        <f>SUM('X-Monthly'!DA106:DL106)</f>
        <v>246.73442</v>
      </c>
      <c r="M106" s="43">
        <f>SUM('X-Monthly'!DM106:DX106)</f>
        <v>138.32151000000005</v>
      </c>
      <c r="N106" s="43">
        <f>SUM('X-Monthly'!DY106:EJ106)</f>
        <v>263.95673999999997</v>
      </c>
      <c r="O106" s="43">
        <f>SUM('X-Monthly'!EK106:EV106)</f>
        <v>217.65816000000001</v>
      </c>
      <c r="P106" s="43">
        <v>192.29676999999998</v>
      </c>
      <c r="Q106" s="43">
        <v>50.460360000000009</v>
      </c>
      <c r="R106" s="43">
        <v>8823.7693400000007</v>
      </c>
      <c r="S106" s="43">
        <v>65084.3</v>
      </c>
      <c r="T106" s="43">
        <v>62235.759999999995</v>
      </c>
      <c r="U106" s="43">
        <v>87607.52</v>
      </c>
      <c r="V106" s="43">
        <v>75221.55</v>
      </c>
      <c r="W106" s="43">
        <v>73000.989000000001</v>
      </c>
      <c r="X106" s="43">
        <v>95525.73599999999</v>
      </c>
      <c r="Y106" s="43">
        <v>104870.20999999999</v>
      </c>
      <c r="Z106" s="43">
        <v>136040.07158873102</v>
      </c>
      <c r="AA106" s="43">
        <v>121469.66100000001</v>
      </c>
      <c r="AB106" s="43">
        <v>166121.67166000002</v>
      </c>
      <c r="AC106" s="43">
        <v>316366.19397333328</v>
      </c>
      <c r="AD106" s="43">
        <v>228808.52553000004</v>
      </c>
      <c r="AE106" s="43"/>
      <c r="AF106" s="43"/>
      <c r="AG106" s="43"/>
      <c r="AH106" s="43"/>
      <c r="AI106" s="43"/>
      <c r="AJ106" s="43"/>
      <c r="AK106" s="43"/>
      <c r="AL106" s="43"/>
      <c r="AM106" s="43"/>
      <c r="AN106" s="43"/>
      <c r="AO106" s="43"/>
      <c r="AP106" s="43"/>
      <c r="AQ106" s="43"/>
      <c r="AR106" s="43"/>
      <c r="AS106" s="4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  <c r="BF106" s="43"/>
      <c r="BG106" s="43"/>
      <c r="BH106" s="43"/>
      <c r="BI106" s="43"/>
      <c r="BJ106" s="43"/>
      <c r="BK106" s="43"/>
      <c r="BL106" s="43"/>
      <c r="BM106" s="43"/>
      <c r="BN106" s="43"/>
      <c r="BO106" s="43"/>
      <c r="BP106" s="43"/>
      <c r="BQ106" s="43"/>
      <c r="BR106" s="43"/>
      <c r="BS106" s="43"/>
      <c r="BT106" s="43"/>
      <c r="BU106" s="43"/>
      <c r="BV106" s="43"/>
      <c r="BW106" s="43"/>
      <c r="BX106" s="43"/>
      <c r="BY106" s="43"/>
      <c r="BZ106" s="43"/>
      <c r="CA106" s="43"/>
      <c r="CB106" s="43"/>
      <c r="CC106" s="43"/>
      <c r="CD106" s="43"/>
      <c r="CE106" s="43"/>
      <c r="CF106" s="43"/>
      <c r="CG106" s="43"/>
      <c r="CH106" s="43"/>
      <c r="CI106" s="43"/>
      <c r="CJ106" s="43"/>
      <c r="CK106" s="43"/>
      <c r="CL106" s="43"/>
      <c r="CM106" s="43"/>
      <c r="CN106" s="43"/>
      <c r="CO106" s="43"/>
      <c r="CP106" s="43"/>
      <c r="CQ106" s="43"/>
      <c r="CR106" s="43"/>
      <c r="CS106" s="43"/>
      <c r="CT106" s="43"/>
      <c r="CU106" s="43"/>
      <c r="CV106" s="43"/>
      <c r="CW106" s="43"/>
      <c r="CX106" s="43"/>
      <c r="CY106" s="43"/>
      <c r="CZ106" s="43"/>
      <c r="DA106" s="43"/>
      <c r="DB106" s="43"/>
      <c r="DC106" s="43"/>
      <c r="DD106" s="43"/>
      <c r="DE106" s="43"/>
      <c r="DF106" s="43"/>
      <c r="DG106" s="43"/>
      <c r="DH106" s="43"/>
      <c r="DI106" s="43"/>
      <c r="DJ106" s="43"/>
      <c r="DK106" s="43"/>
      <c r="DL106" s="43"/>
      <c r="DM106" s="43"/>
      <c r="DN106" s="43"/>
      <c r="DO106" s="43"/>
      <c r="DP106" s="43"/>
      <c r="DQ106" s="43"/>
      <c r="DR106" s="43"/>
      <c r="DS106" s="43"/>
      <c r="DT106" s="43"/>
      <c r="DU106" s="43"/>
      <c r="DV106" s="43"/>
      <c r="DW106" s="43"/>
      <c r="DX106" s="43"/>
      <c r="DY106" s="43"/>
      <c r="DZ106" s="43"/>
      <c r="EA106" s="43"/>
      <c r="EB106" s="43"/>
      <c r="EC106" s="43"/>
      <c r="ED106" s="43"/>
      <c r="EE106" s="43"/>
      <c r="EF106" s="43"/>
      <c r="EG106" s="43"/>
      <c r="EH106" s="43"/>
      <c r="EI106" s="43"/>
      <c r="EJ106" s="43"/>
      <c r="EK106" s="43"/>
      <c r="EL106" s="43"/>
      <c r="EM106" s="43"/>
      <c r="EN106" s="43"/>
      <c r="EO106" s="43"/>
      <c r="EP106" s="43"/>
      <c r="EQ106" s="43"/>
      <c r="ER106" s="43"/>
      <c r="ES106" s="43"/>
      <c r="ET106" s="43"/>
      <c r="EU106" s="43"/>
      <c r="EV106" s="43"/>
      <c r="EW106" s="43"/>
      <c r="EX106" s="43"/>
      <c r="EY106" s="43"/>
      <c r="EZ106" s="43"/>
      <c r="FA106" s="43"/>
      <c r="FB106" s="43"/>
      <c r="FC106" s="43"/>
      <c r="FD106" s="43"/>
      <c r="FE106" s="43"/>
      <c r="FF106" s="43"/>
      <c r="FG106" s="43"/>
      <c r="FH106" s="43"/>
      <c r="FI106" s="43"/>
      <c r="FJ106" s="43"/>
      <c r="FK106" s="43"/>
      <c r="FL106" s="43"/>
      <c r="FM106" s="43"/>
      <c r="FN106" s="43"/>
      <c r="FO106" s="43"/>
      <c r="FP106" s="43"/>
      <c r="FQ106" s="43"/>
      <c r="FR106" s="43"/>
      <c r="FS106" s="43"/>
      <c r="FT106" s="43"/>
      <c r="FU106" s="43"/>
      <c r="FV106" s="43"/>
      <c r="FW106" s="43"/>
      <c r="FX106" s="43"/>
      <c r="FY106" s="43"/>
      <c r="FZ106" s="43"/>
      <c r="GA106" s="43"/>
      <c r="GB106" s="43"/>
      <c r="GC106" s="43"/>
      <c r="GD106" s="43"/>
      <c r="GE106" s="43"/>
      <c r="GF106" s="43"/>
      <c r="GG106" s="43"/>
      <c r="GH106" s="43"/>
      <c r="GI106" s="43"/>
      <c r="GJ106" s="43"/>
      <c r="GK106" s="43"/>
      <c r="GL106" s="43"/>
      <c r="GM106" s="43"/>
      <c r="GN106" s="43"/>
      <c r="GO106" s="43"/>
      <c r="GP106" s="43"/>
      <c r="GQ106" s="43"/>
      <c r="GR106" s="43"/>
      <c r="GS106" s="43"/>
      <c r="GT106" s="43"/>
      <c r="GU106" s="43"/>
      <c r="GV106" s="43"/>
      <c r="GW106" s="43"/>
      <c r="GX106" s="43"/>
      <c r="GY106" s="43"/>
      <c r="GZ106" s="43"/>
      <c r="HA106" s="43"/>
      <c r="HB106" s="43"/>
      <c r="HC106" s="43"/>
      <c r="HD106" s="43"/>
      <c r="HE106" s="43"/>
      <c r="HF106" s="43"/>
      <c r="HG106" s="43"/>
      <c r="HH106" s="43"/>
      <c r="HI106" s="43"/>
      <c r="HJ106" s="43"/>
      <c r="HK106" s="43"/>
      <c r="HL106" s="43"/>
      <c r="HM106" s="43"/>
      <c r="HN106" s="43"/>
      <c r="HO106" s="43"/>
      <c r="HP106" s="43"/>
      <c r="HQ106" s="43"/>
      <c r="HR106" s="43"/>
      <c r="HS106" s="43"/>
      <c r="HT106" s="43"/>
      <c r="HU106" s="43"/>
      <c r="HV106" s="43"/>
      <c r="HW106" s="43"/>
      <c r="HX106" s="43"/>
      <c r="HY106" s="43"/>
      <c r="HZ106" s="43"/>
      <c r="IA106" s="43"/>
      <c r="IB106" s="43"/>
      <c r="IC106" s="43"/>
      <c r="ID106" s="43"/>
      <c r="IE106" s="43"/>
      <c r="IF106" s="43"/>
      <c r="IG106" s="43"/>
      <c r="IH106" s="43"/>
      <c r="II106" s="43"/>
      <c r="IJ106" s="43"/>
      <c r="IK106" s="43"/>
      <c r="IL106" s="43"/>
      <c r="IM106" s="43"/>
      <c r="IN106" s="43"/>
      <c r="IO106" s="43"/>
      <c r="IP106" s="43"/>
      <c r="IQ106" s="43"/>
      <c r="IR106" s="43"/>
      <c r="IS106" s="43"/>
      <c r="IT106" s="43"/>
      <c r="IU106" s="43"/>
      <c r="IV106" s="43"/>
    </row>
    <row r="107" spans="1:256" s="29" customFormat="1" x14ac:dyDescent="0.3">
      <c r="A107" s="33" t="s">
        <v>160</v>
      </c>
      <c r="B107" s="131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>
        <v>13670.935189999998</v>
      </c>
      <c r="Y107" s="43">
        <v>22922.79</v>
      </c>
      <c r="Z107" s="43">
        <v>18142.357</v>
      </c>
      <c r="AA107" s="43">
        <v>15379.031999999999</v>
      </c>
      <c r="AB107" s="43">
        <v>17934.516</v>
      </c>
      <c r="AC107" s="43">
        <v>20362.726000000002</v>
      </c>
      <c r="AD107" s="43">
        <v>21861.203369999999</v>
      </c>
      <c r="AE107" s="43"/>
      <c r="AF107" s="43"/>
      <c r="AG107" s="43"/>
      <c r="AH107" s="43"/>
      <c r="AI107" s="43"/>
      <c r="AJ107" s="43"/>
      <c r="AK107" s="43"/>
      <c r="AL107" s="43"/>
      <c r="AM107" s="43"/>
      <c r="AN107" s="43"/>
      <c r="AO107" s="43"/>
      <c r="AP107" s="43"/>
      <c r="AQ107" s="43"/>
      <c r="AR107" s="43"/>
      <c r="AS107" s="4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  <c r="BF107" s="43"/>
      <c r="BG107" s="43"/>
      <c r="BH107" s="43"/>
      <c r="BI107" s="43"/>
      <c r="BJ107" s="43"/>
      <c r="BK107" s="43"/>
      <c r="BL107" s="43"/>
      <c r="BM107" s="43"/>
      <c r="BN107" s="43"/>
      <c r="BO107" s="43"/>
      <c r="BP107" s="43"/>
      <c r="BQ107" s="43"/>
      <c r="BR107" s="43"/>
      <c r="BS107" s="43"/>
      <c r="BT107" s="43"/>
      <c r="BU107" s="43"/>
      <c r="BV107" s="43"/>
      <c r="BW107" s="43"/>
      <c r="BX107" s="43"/>
      <c r="BY107" s="43"/>
      <c r="BZ107" s="43"/>
      <c r="CA107" s="43"/>
      <c r="CB107" s="43"/>
      <c r="CC107" s="43"/>
      <c r="CD107" s="43"/>
      <c r="CE107" s="43"/>
      <c r="CF107" s="43"/>
      <c r="CG107" s="43"/>
      <c r="CH107" s="43"/>
      <c r="CI107" s="43"/>
      <c r="CJ107" s="43"/>
      <c r="CK107" s="43"/>
      <c r="CL107" s="43"/>
      <c r="CM107" s="43"/>
      <c r="CN107" s="43"/>
      <c r="CO107" s="43"/>
      <c r="CP107" s="43"/>
      <c r="CQ107" s="43"/>
      <c r="CR107" s="43"/>
      <c r="CS107" s="43"/>
      <c r="CT107" s="43"/>
      <c r="CU107" s="43"/>
      <c r="CV107" s="43"/>
      <c r="CW107" s="43"/>
      <c r="CX107" s="43"/>
      <c r="CY107" s="43"/>
      <c r="CZ107" s="43"/>
      <c r="DA107" s="43"/>
      <c r="DB107" s="43"/>
      <c r="DC107" s="43"/>
      <c r="DD107" s="43"/>
      <c r="DE107" s="43"/>
      <c r="DF107" s="43"/>
      <c r="DG107" s="43"/>
      <c r="DH107" s="43"/>
      <c r="DI107" s="43"/>
      <c r="DJ107" s="43"/>
      <c r="DK107" s="43"/>
      <c r="DL107" s="43"/>
      <c r="DM107" s="43"/>
      <c r="DN107" s="43"/>
      <c r="DO107" s="43"/>
      <c r="DP107" s="43"/>
      <c r="DQ107" s="43"/>
      <c r="DR107" s="43"/>
      <c r="DS107" s="43"/>
      <c r="DT107" s="43"/>
      <c r="DU107" s="43"/>
      <c r="DV107" s="43"/>
      <c r="DW107" s="43"/>
      <c r="DX107" s="43"/>
      <c r="DY107" s="43"/>
      <c r="DZ107" s="43"/>
      <c r="EA107" s="43"/>
      <c r="EB107" s="43"/>
      <c r="EC107" s="43"/>
      <c r="ED107" s="43"/>
      <c r="EE107" s="43"/>
      <c r="EF107" s="43"/>
      <c r="EG107" s="43"/>
      <c r="EH107" s="43"/>
      <c r="EI107" s="43"/>
      <c r="EJ107" s="43"/>
      <c r="EK107" s="43"/>
      <c r="EL107" s="43"/>
      <c r="EM107" s="43"/>
      <c r="EN107" s="43"/>
      <c r="EO107" s="43"/>
      <c r="EP107" s="43"/>
      <c r="EQ107" s="43"/>
      <c r="ER107" s="43"/>
      <c r="ES107" s="43"/>
      <c r="ET107" s="43"/>
      <c r="EU107" s="43"/>
      <c r="EV107" s="43"/>
      <c r="EW107" s="43"/>
      <c r="EX107" s="43"/>
      <c r="EY107" s="43"/>
      <c r="EZ107" s="43"/>
      <c r="FA107" s="43"/>
      <c r="FB107" s="43"/>
      <c r="FC107" s="43"/>
      <c r="FD107" s="43"/>
      <c r="FE107" s="43"/>
      <c r="FF107" s="43"/>
      <c r="FG107" s="43"/>
      <c r="FH107" s="43"/>
      <c r="FI107" s="43"/>
      <c r="FJ107" s="43"/>
      <c r="FK107" s="43"/>
      <c r="FL107" s="43"/>
      <c r="FM107" s="43"/>
      <c r="FN107" s="43"/>
      <c r="FO107" s="43"/>
      <c r="FP107" s="43"/>
      <c r="FQ107" s="43"/>
      <c r="FR107" s="43"/>
      <c r="FS107" s="43"/>
      <c r="FT107" s="43"/>
      <c r="FU107" s="43"/>
      <c r="FV107" s="43"/>
      <c r="FW107" s="43"/>
      <c r="FX107" s="43"/>
      <c r="FY107" s="43"/>
      <c r="FZ107" s="43"/>
      <c r="GA107" s="43"/>
      <c r="GB107" s="43"/>
      <c r="GC107" s="43"/>
      <c r="GD107" s="43"/>
      <c r="GE107" s="43"/>
      <c r="GF107" s="43"/>
      <c r="GG107" s="43"/>
      <c r="GH107" s="43"/>
      <c r="GI107" s="43"/>
      <c r="GJ107" s="43"/>
      <c r="GK107" s="43"/>
      <c r="GL107" s="43"/>
      <c r="GM107" s="43"/>
      <c r="GN107" s="43"/>
      <c r="GO107" s="43"/>
      <c r="GP107" s="43"/>
      <c r="GQ107" s="43"/>
      <c r="GR107" s="43"/>
      <c r="GS107" s="43"/>
      <c r="GT107" s="43"/>
      <c r="GU107" s="43"/>
      <c r="GV107" s="43"/>
      <c r="GW107" s="43"/>
      <c r="GX107" s="43"/>
      <c r="GY107" s="43"/>
      <c r="GZ107" s="43"/>
      <c r="HA107" s="43"/>
      <c r="HB107" s="43"/>
      <c r="HC107" s="43"/>
      <c r="HD107" s="43"/>
      <c r="HE107" s="43"/>
      <c r="HF107" s="43"/>
      <c r="HG107" s="43"/>
      <c r="HH107" s="43"/>
      <c r="HI107" s="43"/>
      <c r="HJ107" s="43"/>
      <c r="HK107" s="43"/>
      <c r="HL107" s="43"/>
      <c r="HM107" s="43"/>
      <c r="HN107" s="43"/>
      <c r="HO107" s="43"/>
      <c r="HP107" s="43"/>
      <c r="HQ107" s="43"/>
      <c r="HR107" s="43"/>
      <c r="HS107" s="43"/>
      <c r="HT107" s="43"/>
      <c r="HU107" s="43"/>
      <c r="HV107" s="43"/>
      <c r="HW107" s="43"/>
      <c r="HX107" s="43"/>
      <c r="HY107" s="43"/>
      <c r="HZ107" s="43"/>
      <c r="IA107" s="43"/>
      <c r="IB107" s="43"/>
      <c r="IC107" s="43"/>
      <c r="ID107" s="43"/>
      <c r="IE107" s="43"/>
      <c r="IF107" s="43"/>
      <c r="IG107" s="43"/>
      <c r="IH107" s="43"/>
      <c r="II107" s="43"/>
      <c r="IJ107" s="43"/>
      <c r="IK107" s="43"/>
      <c r="IL107" s="43"/>
      <c r="IM107" s="43"/>
      <c r="IN107" s="43"/>
      <c r="IO107" s="43"/>
      <c r="IP107" s="43"/>
      <c r="IQ107" s="43"/>
      <c r="IR107" s="43"/>
      <c r="IS107" s="43"/>
      <c r="IT107" s="43"/>
      <c r="IU107" s="43"/>
      <c r="IV107" s="43"/>
    </row>
    <row r="108" spans="1:256" s="53" customFormat="1" ht="16.2" thickBot="1" x14ac:dyDescent="0.35">
      <c r="A108" s="51"/>
      <c r="B108" s="119"/>
    </row>
    <row r="109" spans="1:256" s="29" customFormat="1" x14ac:dyDescent="0.3">
      <c r="A109" s="33"/>
      <c r="B109" s="33"/>
    </row>
    <row r="110" spans="1:256" s="29" customFormat="1" x14ac:dyDescent="0.3">
      <c r="A110" s="33" t="s">
        <v>41</v>
      </c>
      <c r="B110" s="33"/>
      <c r="DR110" s="29" t="s">
        <v>84</v>
      </c>
      <c r="HE110" s="29">
        <f>+(HE111*1000)/185</f>
        <v>11228.324324324323</v>
      </c>
      <c r="HF110" s="29">
        <f>+(HF111*1000)/185</f>
        <v>0</v>
      </c>
      <c r="HG110" s="29">
        <f>+(HG111*1000)/185</f>
        <v>0</v>
      </c>
    </row>
    <row r="111" spans="1:256" s="29" customFormat="1" x14ac:dyDescent="0.3">
      <c r="A111" s="33" t="s">
        <v>106</v>
      </c>
      <c r="B111" s="33"/>
      <c r="DA111" s="29" t="s">
        <v>106</v>
      </c>
      <c r="HE111" s="29">
        <v>2077.2399999999998</v>
      </c>
    </row>
    <row r="112" spans="1:256" s="29" customFormat="1" x14ac:dyDescent="0.3">
      <c r="A112" s="33" t="s">
        <v>107</v>
      </c>
      <c r="B112" s="33"/>
      <c r="DA112" s="29" t="s">
        <v>107</v>
      </c>
    </row>
    <row r="113" spans="1:30" s="29" customFormat="1" x14ac:dyDescent="0.3">
      <c r="A113" s="33" t="s">
        <v>108</v>
      </c>
      <c r="B113" s="33"/>
    </row>
    <row r="114" spans="1:30" s="29" customFormat="1" x14ac:dyDescent="0.3">
      <c r="A114" s="33" t="s">
        <v>109</v>
      </c>
      <c r="B114" s="33"/>
    </row>
    <row r="115" spans="1:30" s="29" customFormat="1" x14ac:dyDescent="0.3">
      <c r="A115" s="33"/>
      <c r="B115" s="33"/>
    </row>
    <row r="116" spans="1:30" s="29" customFormat="1" x14ac:dyDescent="0.3">
      <c r="A116" s="33" t="s">
        <v>110</v>
      </c>
      <c r="B116" s="33"/>
    </row>
    <row r="117" spans="1:30" x14ac:dyDescent="0.3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</row>
    <row r="118" spans="1:30" x14ac:dyDescent="0.3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</row>
    <row r="119" spans="1:30" x14ac:dyDescent="0.3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</row>
    <row r="120" spans="1:30" x14ac:dyDescent="0.3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</row>
    <row r="121" spans="1:30" x14ac:dyDescent="0.3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</row>
    <row r="122" spans="1:30" x14ac:dyDescent="0.3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</row>
    <row r="123" spans="1:30" x14ac:dyDescent="0.3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</row>
    <row r="124" spans="1:30" x14ac:dyDescent="0.3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</row>
    <row r="125" spans="1:30" x14ac:dyDescent="0.3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</row>
    <row r="126" spans="1:30" x14ac:dyDescent="0.3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</row>
    <row r="127" spans="1:30" x14ac:dyDescent="0.3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</row>
    <row r="128" spans="1:30" x14ac:dyDescent="0.3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</row>
    <row r="129" spans="1:30" x14ac:dyDescent="0.3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</row>
    <row r="130" spans="1:30" x14ac:dyDescent="0.3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</row>
    <row r="131" spans="1:30" x14ac:dyDescent="0.3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</row>
    <row r="132" spans="1:30" x14ac:dyDescent="0.3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</row>
    <row r="133" spans="1:30" x14ac:dyDescent="0.3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</row>
    <row r="134" spans="1:30" x14ac:dyDescent="0.3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</row>
    <row r="135" spans="1:30" x14ac:dyDescent="0.3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</row>
    <row r="136" spans="1:30" x14ac:dyDescent="0.3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</row>
    <row r="137" spans="1:30" x14ac:dyDescent="0.3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</row>
    <row r="138" spans="1:30" x14ac:dyDescent="0.3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</row>
    <row r="139" spans="1:30" x14ac:dyDescent="0.3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</row>
  </sheetData>
  <hyperlinks>
    <hyperlink ref="A1" location="'Table of Contents'!A1" display="Back to the Table of Contents" xr:uid="{00000000-0004-0000-0300-000000000000}"/>
  </hyperlinks>
  <pageMargins left="0.7" right="0.7" top="0.75" bottom="0.75" header="0.3" footer="0.3"/>
  <pageSetup orientation="portrait" r:id="rId1"/>
  <ignoredErrors>
    <ignoredError sqref="O79:X79 C79:N79 C4:V4 X4" numberStoredAsText="1"/>
    <ignoredError sqref="W3" formulaRange="1"/>
    <ignoredError sqref="W4" numberStoredAsText="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V116"/>
  <sheetViews>
    <sheetView zoomScale="90" zoomScaleNormal="90" workbookViewId="0">
      <pane xSplit="1" ySplit="4" topLeftCell="Q5" activePane="bottomRight" state="frozen"/>
      <selection pane="topRight" activeCell="B1" sqref="B1"/>
      <selection pane="bottomLeft" activeCell="A4" sqref="A4"/>
      <selection pane="bottomRight" activeCell="AD82" sqref="AD82"/>
    </sheetView>
  </sheetViews>
  <sheetFormatPr defaultColWidth="9.109375" defaultRowHeight="15.6" x14ac:dyDescent="0.3"/>
  <cols>
    <col min="1" max="1" width="36.5546875" style="2" customWidth="1"/>
    <col min="2" max="20" width="10.6640625" style="2" customWidth="1"/>
    <col min="21" max="22" width="10.88671875" style="2" bestFit="1" customWidth="1"/>
    <col min="23" max="25" width="11.5546875" style="2" bestFit="1" customWidth="1"/>
    <col min="26" max="29" width="11.6640625" style="28" bestFit="1" customWidth="1"/>
    <col min="30" max="30" width="11.5546875" style="28" bestFit="1" customWidth="1"/>
    <col min="31" max="16384" width="9.109375" style="28"/>
  </cols>
  <sheetData>
    <row r="1" spans="1:29" x14ac:dyDescent="0.3">
      <c r="A1" s="140" t="s">
        <v>182</v>
      </c>
    </row>
    <row r="2" spans="1:29" ht="21" x14ac:dyDescent="0.4">
      <c r="A2" s="127" t="s">
        <v>148</v>
      </c>
      <c r="J2" s="54"/>
      <c r="K2" s="54"/>
      <c r="M2" s="54"/>
      <c r="N2" s="54"/>
      <c r="O2" s="54"/>
      <c r="Q2" s="54"/>
      <c r="R2" s="54"/>
      <c r="S2" s="54"/>
      <c r="T2" s="54"/>
      <c r="U2" s="54"/>
      <c r="V2" s="54"/>
      <c r="W2" s="54"/>
      <c r="X2" s="54"/>
      <c r="Y2" s="54"/>
    </row>
    <row r="3" spans="1:29" x14ac:dyDescent="0.3">
      <c r="A3" s="93"/>
      <c r="B3" s="93"/>
      <c r="C3" s="93" t="s">
        <v>78</v>
      </c>
      <c r="D3" s="93" t="s">
        <v>78</v>
      </c>
      <c r="E3" s="93" t="s">
        <v>78</v>
      </c>
      <c r="F3" s="93" t="s">
        <v>78</v>
      </c>
      <c r="G3" s="93" t="s">
        <v>78</v>
      </c>
      <c r="H3" s="93" t="s">
        <v>78</v>
      </c>
      <c r="I3" s="93" t="s">
        <v>78</v>
      </c>
      <c r="J3" s="93" t="s">
        <v>78</v>
      </c>
      <c r="K3" s="93" t="s">
        <v>78</v>
      </c>
      <c r="L3" s="93" t="s">
        <v>78</v>
      </c>
      <c r="M3" s="93" t="s">
        <v>78</v>
      </c>
      <c r="N3" s="93" t="s">
        <v>78</v>
      </c>
      <c r="O3" s="93" t="s">
        <v>78</v>
      </c>
      <c r="P3" s="93" t="s">
        <v>78</v>
      </c>
      <c r="Q3" s="93" t="s">
        <v>78</v>
      </c>
      <c r="R3" s="93" t="s">
        <v>78</v>
      </c>
      <c r="S3" s="93" t="s">
        <v>78</v>
      </c>
      <c r="T3" s="93" t="s">
        <v>78</v>
      </c>
      <c r="U3" s="93" t="s">
        <v>78</v>
      </c>
      <c r="V3" s="93" t="s">
        <v>78</v>
      </c>
      <c r="W3" s="93" t="s">
        <v>78</v>
      </c>
      <c r="X3" s="93" t="s">
        <v>78</v>
      </c>
      <c r="Y3" s="93" t="s">
        <v>78</v>
      </c>
      <c r="Z3" s="93" t="s">
        <v>78</v>
      </c>
      <c r="AA3" s="93" t="s">
        <v>78</v>
      </c>
      <c r="AB3" s="93" t="s">
        <v>78</v>
      </c>
      <c r="AC3" s="93" t="s">
        <v>78</v>
      </c>
    </row>
    <row r="4" spans="1:29" x14ac:dyDescent="0.3">
      <c r="A4" s="95"/>
      <c r="B4" s="95"/>
      <c r="C4" s="95" t="s">
        <v>146</v>
      </c>
      <c r="D4" s="95" t="s">
        <v>147</v>
      </c>
      <c r="E4" s="95" t="s">
        <v>115</v>
      </c>
      <c r="F4" s="95" t="s">
        <v>116</v>
      </c>
      <c r="G4" s="95" t="s">
        <v>117</v>
      </c>
      <c r="H4" s="95" t="s">
        <v>118</v>
      </c>
      <c r="I4" s="95" t="s">
        <v>79</v>
      </c>
      <c r="J4" s="95" t="s">
        <v>57</v>
      </c>
      <c r="K4" s="95" t="s">
        <v>58</v>
      </c>
      <c r="L4" s="95" t="s">
        <v>59</v>
      </c>
      <c r="M4" s="95" t="s">
        <v>60</v>
      </c>
      <c r="N4" s="95" t="s">
        <v>61</v>
      </c>
      <c r="O4" s="95" t="s">
        <v>62</v>
      </c>
      <c r="P4" s="95" t="s">
        <v>63</v>
      </c>
      <c r="Q4" s="95" t="s">
        <v>64</v>
      </c>
      <c r="R4" s="95" t="s">
        <v>65</v>
      </c>
      <c r="S4" s="95" t="s">
        <v>66</v>
      </c>
      <c r="T4" s="95" t="s">
        <v>67</v>
      </c>
      <c r="U4" s="95" t="s">
        <v>68</v>
      </c>
      <c r="V4" s="95" t="s">
        <v>69</v>
      </c>
      <c r="W4" s="95" t="s">
        <v>153</v>
      </c>
      <c r="X4" s="95" t="s">
        <v>159</v>
      </c>
      <c r="Y4" s="95" t="s">
        <v>164</v>
      </c>
      <c r="Z4" s="95" t="s">
        <v>197</v>
      </c>
      <c r="AA4" s="95" t="s">
        <v>198</v>
      </c>
      <c r="AB4" s="95" t="s">
        <v>201</v>
      </c>
      <c r="AC4" s="95" t="s">
        <v>203</v>
      </c>
    </row>
    <row r="5" spans="1:29" x14ac:dyDescent="0.3">
      <c r="A5" s="1" t="s">
        <v>77</v>
      </c>
      <c r="B5" s="9"/>
      <c r="C5" s="8"/>
      <c r="D5" s="8"/>
      <c r="E5" s="8"/>
      <c r="F5" s="8"/>
      <c r="G5" s="8"/>
      <c r="H5" s="8"/>
      <c r="I5" s="9">
        <v>458.41039917000001</v>
      </c>
      <c r="J5" s="9">
        <v>549.13926400000003</v>
      </c>
      <c r="K5" s="9">
        <v>432.51644899999997</v>
      </c>
      <c r="L5" s="9">
        <v>431.68686299999996</v>
      </c>
      <c r="M5" s="9">
        <v>470.04178841999993</v>
      </c>
      <c r="N5" s="9">
        <v>506.33931294143468</v>
      </c>
      <c r="O5" s="9">
        <v>670.92342761503971</v>
      </c>
      <c r="P5" s="9">
        <v>878.22020730090412</v>
      </c>
      <c r="Q5" s="9">
        <v>1049.4295589651088</v>
      </c>
      <c r="R5" s="9">
        <v>1473.824826197</v>
      </c>
      <c r="S5" s="9">
        <v>2072.9523632334131</v>
      </c>
      <c r="T5" s="9">
        <v>2216.396600307512</v>
      </c>
      <c r="U5" s="9">
        <v>2317.2976955496679</v>
      </c>
      <c r="V5" s="9">
        <v>2297.7704189723413</v>
      </c>
      <c r="W5" s="9">
        <v>2667.4313408381358</v>
      </c>
      <c r="X5" s="9">
        <v>2912.1057869055035</v>
      </c>
      <c r="Y5" s="9">
        <v>2706.329069543875</v>
      </c>
      <c r="Z5" s="9">
        <v>2738.369080424508</v>
      </c>
      <c r="AA5" s="9">
        <v>2687.8284806448546</v>
      </c>
      <c r="AB5" s="9">
        <v>3274.23935402907</v>
      </c>
      <c r="AC5" s="9">
        <v>3536.6478457364447</v>
      </c>
    </row>
    <row r="6" spans="1:29" x14ac:dyDescent="0.3">
      <c r="B6" s="9"/>
      <c r="C6" s="8"/>
      <c r="D6" s="8"/>
      <c r="E6" s="8"/>
      <c r="F6" s="8"/>
      <c r="G6" s="8"/>
      <c r="H6" s="8"/>
      <c r="I6" s="9"/>
      <c r="J6" s="9"/>
      <c r="K6" s="9"/>
      <c r="L6" s="9"/>
      <c r="M6" s="14"/>
      <c r="N6" s="14"/>
      <c r="O6" s="14"/>
      <c r="P6" s="14"/>
      <c r="Q6" s="14"/>
      <c r="R6" s="14"/>
      <c r="S6" s="14"/>
      <c r="T6" s="14"/>
      <c r="Z6" s="2"/>
      <c r="AA6" s="2"/>
      <c r="AB6" s="2"/>
      <c r="AC6" s="2"/>
    </row>
    <row r="7" spans="1:29" x14ac:dyDescent="0.3">
      <c r="A7" s="1" t="s">
        <v>1</v>
      </c>
      <c r="B7" s="9"/>
      <c r="C7" s="8"/>
      <c r="D7" s="8"/>
      <c r="E7" s="8"/>
      <c r="F7" s="8"/>
      <c r="G7" s="8"/>
      <c r="H7" s="8"/>
      <c r="I7" s="9">
        <v>268.858272</v>
      </c>
      <c r="J7" s="9">
        <v>306.73985099999999</v>
      </c>
      <c r="K7" s="9">
        <v>186.87025700000001</v>
      </c>
      <c r="L7" s="9">
        <v>109.64353599999998</v>
      </c>
      <c r="M7" s="9">
        <v>85.254139000000009</v>
      </c>
      <c r="N7" s="9">
        <v>105.473097</v>
      </c>
      <c r="O7" s="9">
        <v>114.12898199999999</v>
      </c>
      <c r="P7" s="9">
        <v>144.52740453999999</v>
      </c>
      <c r="Q7" s="9">
        <v>173.37301800000003</v>
      </c>
      <c r="R7" s="9">
        <v>228.51782500000004</v>
      </c>
      <c r="S7" s="9">
        <v>348.629099</v>
      </c>
      <c r="T7" s="9">
        <v>336.65290700000008</v>
      </c>
      <c r="U7" s="9">
        <v>262.13089000000002</v>
      </c>
      <c r="V7" s="9">
        <v>371.04384799999997</v>
      </c>
      <c r="W7" s="9">
        <v>444.21055099</v>
      </c>
      <c r="X7" s="9">
        <v>422.68894208999995</v>
      </c>
      <c r="Y7" s="9">
        <v>404.00498413000003</v>
      </c>
      <c r="Z7" s="9">
        <v>400.49256416000003</v>
      </c>
      <c r="AA7" s="9">
        <v>352.03390790799995</v>
      </c>
      <c r="AB7" s="9">
        <v>490.51340414000003</v>
      </c>
      <c r="AC7" s="9">
        <v>492.47382384000002</v>
      </c>
    </row>
    <row r="8" spans="1:29" x14ac:dyDescent="0.3">
      <c r="A8" s="2" t="s">
        <v>199</v>
      </c>
      <c r="B8" s="14"/>
      <c r="C8" s="13"/>
      <c r="D8" s="13"/>
      <c r="E8" s="13"/>
      <c r="F8" s="13"/>
      <c r="G8" s="13"/>
      <c r="H8" s="13"/>
      <c r="I8" s="14">
        <v>2.8624029999999996</v>
      </c>
      <c r="J8" s="14">
        <v>3.7471070000000002</v>
      </c>
      <c r="K8" s="14">
        <v>3.0391059999999999</v>
      </c>
      <c r="L8" s="14">
        <v>2.8399760000000001</v>
      </c>
      <c r="M8" s="14">
        <v>3.1557209999999998</v>
      </c>
      <c r="N8" s="14">
        <v>2.9925029999999992</v>
      </c>
      <c r="O8" s="14">
        <v>2.552324</v>
      </c>
      <c r="P8" s="14">
        <v>2.5200549999999997</v>
      </c>
      <c r="Q8" s="14">
        <v>2.1019160000000001</v>
      </c>
      <c r="R8" s="14">
        <v>2.5355229999999995</v>
      </c>
      <c r="S8" s="14">
        <v>3.0283099999999998</v>
      </c>
      <c r="T8" s="14">
        <v>3.1978330000000001</v>
      </c>
      <c r="U8" s="14">
        <v>2.7436229999999999</v>
      </c>
      <c r="V8" s="14">
        <v>2.7787410000000001</v>
      </c>
      <c r="W8" s="14">
        <v>3.037585</v>
      </c>
      <c r="X8" s="14">
        <v>3.3744552300000001</v>
      </c>
      <c r="Y8" s="14">
        <v>3.6531929999999999</v>
      </c>
      <c r="Z8" s="14">
        <v>3.2403</v>
      </c>
      <c r="AA8" s="14">
        <v>3.5592679999999999</v>
      </c>
      <c r="AB8" s="14">
        <v>4.1881699999999995</v>
      </c>
      <c r="AC8" s="14">
        <v>4.458558</v>
      </c>
    </row>
    <row r="9" spans="1:29" x14ac:dyDescent="0.3">
      <c r="A9" s="2" t="s">
        <v>2</v>
      </c>
      <c r="B9" s="14"/>
      <c r="C9" s="13"/>
      <c r="D9" s="13"/>
      <c r="E9" s="13"/>
      <c r="F9" s="13"/>
      <c r="G9" s="13"/>
      <c r="H9" s="13"/>
      <c r="I9" s="14">
        <v>1.5654578338549816</v>
      </c>
      <c r="J9" s="14">
        <v>1.3643407700927674</v>
      </c>
      <c r="K9" s="14">
        <v>1.0248093627972612</v>
      </c>
      <c r="L9" s="14">
        <v>0.6434534188551827</v>
      </c>
      <c r="M9" s="14">
        <v>0.45026233835838686</v>
      </c>
      <c r="N9" s="14">
        <v>0.58742963666201853</v>
      </c>
      <c r="O9" s="14">
        <v>0.74526184763376435</v>
      </c>
      <c r="P9" s="14">
        <v>0.95584821587888624</v>
      </c>
      <c r="Q9" s="14">
        <v>1.3747220631081356</v>
      </c>
      <c r="R9" s="14">
        <v>1.5021084078774549</v>
      </c>
      <c r="S9" s="14">
        <v>1.9187219879514756</v>
      </c>
      <c r="T9" s="14">
        <v>1.7545887428559697</v>
      </c>
      <c r="U9" s="14">
        <v>1.5923646093747819</v>
      </c>
      <c r="V9" s="14">
        <v>2.225491376610246</v>
      </c>
      <c r="W9" s="14">
        <v>2.4373010740988863</v>
      </c>
      <c r="X9" s="14">
        <v>2.0876897814110276</v>
      </c>
      <c r="Y9" s="14">
        <v>1.8431592314358063</v>
      </c>
      <c r="Z9" s="14">
        <v>2.0599561982943966</v>
      </c>
      <c r="AA9" s="14">
        <v>1.6484377682339926</v>
      </c>
      <c r="AB9" s="14">
        <v>1.9519798390068537</v>
      </c>
      <c r="AC9" s="14">
        <v>1.8409308713714165</v>
      </c>
    </row>
    <row r="10" spans="1:29" x14ac:dyDescent="0.3">
      <c r="B10" s="14"/>
      <c r="C10" s="13"/>
      <c r="D10" s="13"/>
      <c r="E10" s="13"/>
      <c r="F10" s="13"/>
      <c r="G10" s="13"/>
      <c r="H10" s="13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</row>
    <row r="11" spans="1:29" x14ac:dyDescent="0.3">
      <c r="A11" s="1" t="s">
        <v>3</v>
      </c>
      <c r="B11" s="9"/>
      <c r="C11" s="8"/>
      <c r="D11" s="8"/>
      <c r="E11" s="8"/>
      <c r="F11" s="8"/>
      <c r="G11" s="8"/>
      <c r="H11" s="8"/>
      <c r="I11" s="9">
        <v>189.55212717000003</v>
      </c>
      <c r="J11" s="9">
        <v>242.39941300000004</v>
      </c>
      <c r="K11" s="9">
        <v>245.64619199999996</v>
      </c>
      <c r="L11" s="9">
        <v>322.04332699999998</v>
      </c>
      <c r="M11" s="9">
        <v>384.78764941999992</v>
      </c>
      <c r="N11" s="9">
        <v>394.50210348585625</v>
      </c>
      <c r="O11" s="9">
        <v>519.23887666170026</v>
      </c>
      <c r="P11" s="9">
        <v>600.35652532916322</v>
      </c>
      <c r="Q11" s="9">
        <v>674.30918855510868</v>
      </c>
      <c r="R11" s="9">
        <v>976.08151488023998</v>
      </c>
      <c r="S11" s="9">
        <v>1139.1275696130008</v>
      </c>
      <c r="T11" s="9">
        <v>1229.0305270322085</v>
      </c>
      <c r="U11" s="9">
        <v>1350.033780273548</v>
      </c>
      <c r="V11" s="9">
        <v>1508.3683433920328</v>
      </c>
      <c r="W11" s="9">
        <v>1839.8867353481355</v>
      </c>
      <c r="X11" s="9">
        <v>2020.8681496300012</v>
      </c>
      <c r="Y11" s="9">
        <v>1906.6483420472491</v>
      </c>
      <c r="Z11" s="9">
        <v>1899.2946313043187</v>
      </c>
      <c r="AA11" s="9">
        <v>1946.0963627471986</v>
      </c>
      <c r="AB11" s="9">
        <v>2300.0459311883797</v>
      </c>
      <c r="AC11" s="9">
        <v>2455.1433899516314</v>
      </c>
    </row>
    <row r="12" spans="1:29" x14ac:dyDescent="0.3">
      <c r="A12" s="2" t="s">
        <v>4</v>
      </c>
      <c r="B12" s="14"/>
      <c r="C12" s="13"/>
      <c r="D12" s="13"/>
      <c r="E12" s="13"/>
      <c r="F12" s="13"/>
      <c r="G12" s="13"/>
      <c r="H12" s="13"/>
      <c r="I12" s="14">
        <v>11.956388820000001</v>
      </c>
      <c r="J12" s="14">
        <v>12.270395000000001</v>
      </c>
      <c r="K12" s="14">
        <v>13.761000000000001</v>
      </c>
      <c r="L12" s="14">
        <v>16.667712999999999</v>
      </c>
      <c r="M12" s="14">
        <v>13.94</v>
      </c>
      <c r="N12" s="14">
        <v>15.472999999999999</v>
      </c>
      <c r="O12" s="14">
        <v>12.638999999999999</v>
      </c>
      <c r="P12" s="14">
        <v>8.4288334342323736</v>
      </c>
      <c r="Q12" s="14">
        <v>4.5077123706789228</v>
      </c>
      <c r="R12" s="14">
        <v>6.3119999999999994</v>
      </c>
      <c r="S12" s="14">
        <v>11.19</v>
      </c>
      <c r="T12" s="14">
        <v>11.108000000000001</v>
      </c>
      <c r="U12" s="14">
        <v>14.384</v>
      </c>
      <c r="V12" s="14">
        <v>13.928040177397493</v>
      </c>
      <c r="W12" s="14">
        <v>17.276693340000001</v>
      </c>
      <c r="X12" s="14">
        <v>15.570543600000001</v>
      </c>
      <c r="Y12" s="14">
        <v>27.18762113</v>
      </c>
      <c r="Z12" s="14">
        <v>24.426033990000001</v>
      </c>
      <c r="AA12" s="14">
        <v>17.097318147935727</v>
      </c>
      <c r="AB12" s="14">
        <v>45.143536259000001</v>
      </c>
      <c r="AC12" s="14">
        <v>43.423338879425117</v>
      </c>
    </row>
    <row r="13" spans="1:29" x14ac:dyDescent="0.3">
      <c r="A13" s="2" t="s">
        <v>5</v>
      </c>
      <c r="B13" s="14"/>
      <c r="C13" s="13"/>
      <c r="D13" s="13"/>
      <c r="E13" s="13"/>
      <c r="F13" s="13"/>
      <c r="G13" s="13"/>
      <c r="H13" s="13"/>
      <c r="I13" s="14">
        <v>25.452799970000001</v>
      </c>
      <c r="J13" s="14">
        <v>27.945999999999998</v>
      </c>
      <c r="K13" s="14">
        <v>39.393000000000001</v>
      </c>
      <c r="L13" s="14">
        <v>58.487000000000002</v>
      </c>
      <c r="M13" s="14">
        <v>56.667999999999992</v>
      </c>
      <c r="N13" s="14">
        <v>48.184000000000005</v>
      </c>
      <c r="O13" s="14">
        <v>58.486999999999995</v>
      </c>
      <c r="P13" s="14">
        <v>71.326065</v>
      </c>
      <c r="Q13" s="14">
        <v>101.554</v>
      </c>
      <c r="R13" s="14">
        <v>116.142</v>
      </c>
      <c r="S13" s="14">
        <v>44.851999999999997</v>
      </c>
      <c r="T13" s="14">
        <v>27.836000000000006</v>
      </c>
      <c r="U13" s="14">
        <v>38.475999999999999</v>
      </c>
      <c r="V13" s="14">
        <v>6.8481319999999997</v>
      </c>
      <c r="W13" s="14">
        <v>11.47345251</v>
      </c>
      <c r="X13" s="14">
        <v>4.9423213399999995</v>
      </c>
      <c r="Y13" s="14">
        <v>0.25418706000000002</v>
      </c>
      <c r="Z13" s="14">
        <v>0.23365459599999999</v>
      </c>
      <c r="AA13" s="14">
        <v>204.26485303700002</v>
      </c>
      <c r="AB13" s="14">
        <v>433.66447906286913</v>
      </c>
      <c r="AC13" s="14">
        <v>343.30197320992846</v>
      </c>
    </row>
    <row r="14" spans="1:29" x14ac:dyDescent="0.3">
      <c r="A14" s="2" t="s">
        <v>6</v>
      </c>
      <c r="B14" s="14"/>
      <c r="C14" s="13"/>
      <c r="D14" s="13"/>
      <c r="E14" s="13"/>
      <c r="F14" s="13"/>
      <c r="G14" s="13"/>
      <c r="H14" s="13"/>
      <c r="I14" s="14">
        <v>11.382000000000001</v>
      </c>
      <c r="J14" s="14">
        <v>10.827</v>
      </c>
      <c r="K14" s="14">
        <v>22.499000000000002</v>
      </c>
      <c r="L14" s="14">
        <v>14.079000000000001</v>
      </c>
      <c r="M14" s="14">
        <v>18</v>
      </c>
      <c r="N14" s="14">
        <v>16.88</v>
      </c>
      <c r="O14" s="14">
        <v>42.835999999999999</v>
      </c>
      <c r="P14" s="14">
        <v>41.615548596792976</v>
      </c>
      <c r="Q14" s="14">
        <v>12.584451403207025</v>
      </c>
      <c r="R14" s="14">
        <v>19.672999999999998</v>
      </c>
      <c r="S14" s="14">
        <v>19.903999999999996</v>
      </c>
      <c r="T14" s="14">
        <v>20.11</v>
      </c>
      <c r="U14" s="14">
        <v>17.033999999999999</v>
      </c>
      <c r="V14" s="14">
        <v>82.951032029999993</v>
      </c>
      <c r="W14" s="14">
        <v>77.590780920000014</v>
      </c>
      <c r="X14" s="14">
        <v>36.455229330000009</v>
      </c>
      <c r="Y14" s="14">
        <v>21.750821261762837</v>
      </c>
      <c r="Z14" s="14">
        <v>18.182296809</v>
      </c>
      <c r="AA14" s="14">
        <v>24.292104292157727</v>
      </c>
      <c r="AB14" s="14">
        <v>48.310039892761978</v>
      </c>
      <c r="AC14" s="14">
        <v>41.1583659126578</v>
      </c>
    </row>
    <row r="15" spans="1:29" x14ac:dyDescent="0.3">
      <c r="A15" s="2" t="s">
        <v>7</v>
      </c>
      <c r="B15" s="14"/>
      <c r="C15" s="13"/>
      <c r="D15" s="13"/>
      <c r="E15" s="13"/>
      <c r="F15" s="13"/>
      <c r="G15" s="13"/>
      <c r="H15" s="13"/>
      <c r="I15" s="14">
        <v>35.032854999999998</v>
      </c>
      <c r="J15" s="14">
        <v>22.667569</v>
      </c>
      <c r="K15" s="14">
        <v>31.875999999999998</v>
      </c>
      <c r="L15" s="14">
        <v>35.933</v>
      </c>
      <c r="M15" s="14">
        <v>26.850967689999997</v>
      </c>
      <c r="N15" s="14">
        <v>29.455487060000003</v>
      </c>
      <c r="O15" s="14">
        <v>39.25041727</v>
      </c>
      <c r="P15" s="14">
        <v>32.576912943736588</v>
      </c>
      <c r="Q15" s="14">
        <v>26.158087056263415</v>
      </c>
      <c r="R15" s="14">
        <v>45.943999999999996</v>
      </c>
      <c r="S15" s="14">
        <v>46.756999999999998</v>
      </c>
      <c r="T15" s="14">
        <v>50.165000000000006</v>
      </c>
      <c r="U15" s="14">
        <v>70.932000000000002</v>
      </c>
      <c r="V15" s="14">
        <v>63.602952300000013</v>
      </c>
      <c r="W15" s="14">
        <v>71.585520169999995</v>
      </c>
      <c r="X15" s="14">
        <v>86.195357659999985</v>
      </c>
      <c r="Y15" s="14">
        <v>83.219905429845284</v>
      </c>
      <c r="Z15" s="14">
        <v>73.372888792128293</v>
      </c>
      <c r="AA15" s="14">
        <v>74.496560118003487</v>
      </c>
      <c r="AB15" s="14">
        <v>67.86259987813331</v>
      </c>
      <c r="AC15" s="14">
        <v>91.609509247552666</v>
      </c>
    </row>
    <row r="16" spans="1:29" x14ac:dyDescent="0.3">
      <c r="A16" s="2" t="s">
        <v>8</v>
      </c>
      <c r="B16" s="14"/>
      <c r="C16" s="13"/>
      <c r="D16" s="13"/>
      <c r="E16" s="13"/>
      <c r="F16" s="13"/>
      <c r="G16" s="13"/>
      <c r="H16" s="13"/>
      <c r="I16" s="14">
        <v>10.810509</v>
      </c>
      <c r="J16" s="14">
        <v>22.863</v>
      </c>
      <c r="K16" s="14">
        <v>22.431999999999999</v>
      </c>
      <c r="L16" s="14">
        <v>27.643999999999998</v>
      </c>
      <c r="M16" s="14">
        <v>32.270000000000003</v>
      </c>
      <c r="N16" s="14">
        <v>39.890999999999998</v>
      </c>
      <c r="O16" s="14">
        <v>36.159999999999997</v>
      </c>
      <c r="P16" s="14">
        <v>34.271614155271038</v>
      </c>
      <c r="Q16" s="14">
        <v>32.56497684472896</v>
      </c>
      <c r="R16" s="14">
        <v>46.737000000000002</v>
      </c>
      <c r="S16" s="14">
        <v>64.488</v>
      </c>
      <c r="T16" s="14">
        <v>62.634999999999998</v>
      </c>
      <c r="U16" s="14">
        <v>76.615000000000009</v>
      </c>
      <c r="V16" s="14">
        <v>58.119897999999999</v>
      </c>
      <c r="W16" s="14">
        <v>57.23432283999999</v>
      </c>
      <c r="X16" s="14">
        <v>72.722641519999982</v>
      </c>
      <c r="Y16" s="14">
        <v>94.040394407730233</v>
      </c>
      <c r="Z16" s="14">
        <v>63.221653144061108</v>
      </c>
      <c r="AA16" s="14">
        <v>73.234302522502958</v>
      </c>
      <c r="AB16" s="14">
        <v>46.946033075725623</v>
      </c>
      <c r="AC16" s="14">
        <v>54.214321170433294</v>
      </c>
    </row>
    <row r="17" spans="1:29" x14ac:dyDescent="0.3">
      <c r="A17" s="2" t="s">
        <v>9</v>
      </c>
      <c r="B17" s="14"/>
      <c r="C17" s="13"/>
      <c r="D17" s="13"/>
      <c r="E17" s="13"/>
      <c r="F17" s="13"/>
      <c r="G17" s="13"/>
      <c r="H17" s="13"/>
      <c r="I17" s="14">
        <v>27.984209</v>
      </c>
      <c r="J17" s="14">
        <v>47.567999999999998</v>
      </c>
      <c r="K17" s="14">
        <v>18.643000000000001</v>
      </c>
      <c r="L17" s="14">
        <v>50.112000000000002</v>
      </c>
      <c r="M17" s="14">
        <v>80.847881000000001</v>
      </c>
      <c r="N17" s="14">
        <v>83.783000000000001</v>
      </c>
      <c r="O17" s="14">
        <v>88.814999999999998</v>
      </c>
      <c r="P17" s="14">
        <v>120.86409826442733</v>
      </c>
      <c r="Q17" s="14">
        <v>147.39890173557268</v>
      </c>
      <c r="R17" s="14">
        <v>140.667</v>
      </c>
      <c r="S17" s="14">
        <v>126.589</v>
      </c>
      <c r="T17" s="14">
        <v>111.46700000000001</v>
      </c>
      <c r="U17" s="14">
        <v>130.56299999999999</v>
      </c>
      <c r="V17" s="14">
        <v>143.18722627</v>
      </c>
      <c r="W17" s="14">
        <v>137.80664829999998</v>
      </c>
      <c r="X17" s="14">
        <v>108.60925747999998</v>
      </c>
      <c r="Y17" s="14">
        <v>110.17708371168629</v>
      </c>
      <c r="Z17" s="14">
        <v>136.81637621873622</v>
      </c>
      <c r="AA17" s="14">
        <v>115.14529551627527</v>
      </c>
      <c r="AB17" s="14">
        <v>131.59868166269524</v>
      </c>
      <c r="AC17" s="14">
        <v>146.31062016387742</v>
      </c>
    </row>
    <row r="18" spans="1:29" x14ac:dyDescent="0.3">
      <c r="A18" s="2" t="s">
        <v>10</v>
      </c>
      <c r="B18" s="14"/>
      <c r="C18" s="13"/>
      <c r="D18" s="13"/>
      <c r="E18" s="13"/>
      <c r="F18" s="13"/>
      <c r="G18" s="13"/>
      <c r="H18" s="13"/>
      <c r="I18" s="14">
        <v>7.8342870000000007</v>
      </c>
      <c r="J18" s="14">
        <v>6.6130739999999992</v>
      </c>
      <c r="K18" s="14">
        <v>6.1470000000000002</v>
      </c>
      <c r="L18" s="14">
        <v>22.7</v>
      </c>
      <c r="M18" s="14">
        <v>19.649000000000001</v>
      </c>
      <c r="N18" s="14">
        <v>4.1820000000000004</v>
      </c>
      <c r="O18" s="14">
        <v>5.86</v>
      </c>
      <c r="P18" s="14">
        <v>6.5304073851333717</v>
      </c>
      <c r="Q18" s="14">
        <v>7.2788713528736917</v>
      </c>
      <c r="R18" s="14">
        <v>14.693999999999999</v>
      </c>
      <c r="S18" s="14">
        <v>13.828763526676205</v>
      </c>
      <c r="T18" s="14">
        <v>8.3719999999999999</v>
      </c>
      <c r="U18" s="14">
        <v>11.279</v>
      </c>
      <c r="V18" s="14">
        <v>25.795617</v>
      </c>
      <c r="W18" s="14">
        <v>39.006926180000001</v>
      </c>
      <c r="X18" s="14">
        <v>47.0769308</v>
      </c>
      <c r="Y18" s="14">
        <v>74.823251510814927</v>
      </c>
      <c r="Z18" s="14">
        <v>67.571391864999981</v>
      </c>
      <c r="AA18" s="14">
        <v>56.006075329375932</v>
      </c>
      <c r="AB18" s="14">
        <v>50.936959074219175</v>
      </c>
      <c r="AC18" s="14">
        <v>54.640289962497064</v>
      </c>
    </row>
    <row r="19" spans="1:29" x14ac:dyDescent="0.3">
      <c r="A19" s="2" t="s">
        <v>11</v>
      </c>
      <c r="B19" s="14"/>
      <c r="C19" s="13"/>
      <c r="D19" s="13"/>
      <c r="E19" s="13"/>
      <c r="F19" s="13"/>
      <c r="G19" s="13"/>
      <c r="H19" s="13"/>
      <c r="I19" s="14">
        <v>3.7999999999999999E-2</v>
      </c>
      <c r="J19" s="14">
        <v>1.3420000000000001</v>
      </c>
      <c r="K19" s="14">
        <v>0.82499999999999996</v>
      </c>
      <c r="L19" s="14">
        <v>0.65700000000000003</v>
      </c>
      <c r="M19" s="14">
        <v>0.46800000000000008</v>
      </c>
      <c r="N19" s="14">
        <v>1.5499999999999998</v>
      </c>
      <c r="O19" s="14">
        <v>3.3820000000000001</v>
      </c>
      <c r="P19" s="14">
        <v>2.8724233212293373</v>
      </c>
      <c r="Q19" s="14">
        <v>5.7099536787706615</v>
      </c>
      <c r="R19" s="14">
        <v>3.95</v>
      </c>
      <c r="S19" s="14">
        <v>13.869</v>
      </c>
      <c r="T19" s="14">
        <v>13.242000000000001</v>
      </c>
      <c r="U19" s="14">
        <v>9.6210000000000004</v>
      </c>
      <c r="V19" s="14">
        <v>17.723576999999999</v>
      </c>
      <c r="W19" s="14">
        <v>13.150881400000003</v>
      </c>
      <c r="X19" s="14">
        <v>23.540369769999987</v>
      </c>
      <c r="Y19" s="14">
        <v>45.558298410492796</v>
      </c>
      <c r="Z19" s="14">
        <v>50.748505964666649</v>
      </c>
      <c r="AA19" s="14">
        <v>29.589605416523842</v>
      </c>
      <c r="AB19" s="14">
        <v>16.160772643924357</v>
      </c>
      <c r="AC19" s="14">
        <v>22.423137090669968</v>
      </c>
    </row>
    <row r="20" spans="1:29" x14ac:dyDescent="0.3">
      <c r="A20" s="2" t="s">
        <v>12</v>
      </c>
      <c r="B20" s="14"/>
      <c r="C20" s="13"/>
      <c r="D20" s="13"/>
      <c r="E20" s="13"/>
      <c r="F20" s="13"/>
      <c r="G20" s="13"/>
      <c r="H20" s="13"/>
      <c r="I20" s="14">
        <v>8.0800110000000007</v>
      </c>
      <c r="J20" s="14">
        <v>5.8883749999999999</v>
      </c>
      <c r="K20" s="14">
        <v>4.01</v>
      </c>
      <c r="L20" s="14">
        <v>6.1340000000000003</v>
      </c>
      <c r="M20" s="14">
        <v>13.068</v>
      </c>
      <c r="N20" s="14">
        <v>8.1630000000000003</v>
      </c>
      <c r="O20" s="14">
        <v>18.759</v>
      </c>
      <c r="P20" s="14">
        <v>11.716624965398324</v>
      </c>
      <c r="Q20" s="14">
        <v>25.304375034601676</v>
      </c>
      <c r="R20" s="14">
        <v>27.937999999999999</v>
      </c>
      <c r="S20" s="14">
        <v>17.961000000000002</v>
      </c>
      <c r="T20" s="14">
        <v>27.512999999999998</v>
      </c>
      <c r="U20" s="14">
        <v>27.814999999999998</v>
      </c>
      <c r="V20" s="14">
        <v>25.594484000000001</v>
      </c>
      <c r="W20" s="14">
        <v>47.026702999999962</v>
      </c>
      <c r="X20" s="14">
        <v>54.431105560000127</v>
      </c>
      <c r="Y20" s="14">
        <v>35.741072184435048</v>
      </c>
      <c r="Z20" s="14">
        <v>74.190844308772753</v>
      </c>
      <c r="AA20" s="14">
        <v>81.970881469201188</v>
      </c>
      <c r="AB20" s="14">
        <v>78.493817745671947</v>
      </c>
      <c r="AC20" s="14">
        <v>124.80784663905618</v>
      </c>
    </row>
    <row r="21" spans="1:29" x14ac:dyDescent="0.3">
      <c r="A21" s="2" t="s">
        <v>13</v>
      </c>
      <c r="B21" s="14"/>
      <c r="C21" s="13"/>
      <c r="D21" s="13"/>
      <c r="E21" s="13"/>
      <c r="F21" s="13"/>
      <c r="G21" s="13"/>
      <c r="H21" s="13"/>
      <c r="I21" s="14">
        <v>2.1948919999999998</v>
      </c>
      <c r="J21" s="14">
        <v>4.62</v>
      </c>
      <c r="K21" s="14">
        <v>4.8179999999999996</v>
      </c>
      <c r="L21" s="14">
        <v>2.0409999999999999</v>
      </c>
      <c r="M21" s="14">
        <v>1.4489999999999998</v>
      </c>
      <c r="N21" s="14">
        <v>5.4910000000000005</v>
      </c>
      <c r="O21" s="14">
        <v>4.8660000000000005</v>
      </c>
      <c r="P21" s="14">
        <v>4.2550802326397363</v>
      </c>
      <c r="Q21" s="14">
        <v>8.3519197673602648</v>
      </c>
      <c r="R21" s="14">
        <v>5.7780000000000005</v>
      </c>
      <c r="S21" s="14">
        <v>5.7089999999999996</v>
      </c>
      <c r="T21" s="14">
        <v>13.775</v>
      </c>
      <c r="U21" s="14">
        <v>9.5960000000000001</v>
      </c>
      <c r="V21" s="14">
        <v>11.135793</v>
      </c>
      <c r="W21" s="14">
        <v>15.222733050000002</v>
      </c>
      <c r="X21" s="14">
        <v>16.121432220000006</v>
      </c>
      <c r="Y21" s="14">
        <v>20.316445322535188</v>
      </c>
      <c r="Z21" s="14">
        <v>37.615426767474176</v>
      </c>
      <c r="AA21" s="14">
        <v>49.048462555896499</v>
      </c>
      <c r="AB21" s="14">
        <v>55.445621509300594</v>
      </c>
      <c r="AC21" s="14">
        <v>123.40639458267329</v>
      </c>
    </row>
    <row r="22" spans="1:29" x14ac:dyDescent="0.3">
      <c r="A22" s="2" t="s">
        <v>14</v>
      </c>
      <c r="B22" s="14"/>
      <c r="C22" s="13"/>
      <c r="D22" s="13"/>
      <c r="E22" s="13"/>
      <c r="F22" s="13"/>
      <c r="G22" s="13"/>
      <c r="H22" s="13"/>
      <c r="I22" s="14">
        <v>6.8160846999999993</v>
      </c>
      <c r="J22" s="14">
        <v>7.1989999999999998</v>
      </c>
      <c r="K22" s="14">
        <v>8.2899999999999991</v>
      </c>
      <c r="L22" s="14">
        <v>13.221</v>
      </c>
      <c r="M22" s="14">
        <v>15.907</v>
      </c>
      <c r="N22" s="14">
        <v>17.04</v>
      </c>
      <c r="O22" s="14">
        <v>27.157</v>
      </c>
      <c r="P22" s="14">
        <v>30.528011545136813</v>
      </c>
      <c r="Q22" s="14">
        <v>33.844988454863199</v>
      </c>
      <c r="R22" s="14">
        <v>32.608999999999995</v>
      </c>
      <c r="S22" s="14">
        <v>38.983000000000004</v>
      </c>
      <c r="T22" s="14">
        <v>48.537000000000006</v>
      </c>
      <c r="U22" s="14">
        <v>49.180000000000007</v>
      </c>
      <c r="V22" s="14">
        <v>47.837539</v>
      </c>
      <c r="W22" s="14">
        <v>55.549490909999989</v>
      </c>
      <c r="X22" s="14">
        <v>52.991813379999989</v>
      </c>
      <c r="Y22" s="14">
        <v>59.045572820360015</v>
      </c>
      <c r="Z22" s="14">
        <v>55.280404033197669</v>
      </c>
      <c r="AA22" s="14">
        <v>49.101595800036776</v>
      </c>
      <c r="AB22" s="14">
        <v>53.577773029338189</v>
      </c>
      <c r="AC22" s="14">
        <v>61.859918234702434</v>
      </c>
    </row>
    <row r="23" spans="1:29" x14ac:dyDescent="0.3">
      <c r="A23" s="2" t="s">
        <v>15</v>
      </c>
      <c r="B23" s="14"/>
      <c r="C23" s="13"/>
      <c r="D23" s="13"/>
      <c r="E23" s="13"/>
      <c r="F23" s="13"/>
      <c r="G23" s="13"/>
      <c r="H23" s="13"/>
      <c r="I23" s="14">
        <v>9.5736236800000007</v>
      </c>
      <c r="J23" s="14">
        <v>11.799000000000001</v>
      </c>
      <c r="K23" s="14">
        <v>7.9007000000000005</v>
      </c>
      <c r="L23" s="14">
        <v>11.116</v>
      </c>
      <c r="M23" s="14">
        <v>7.2510000000000003</v>
      </c>
      <c r="N23" s="14">
        <v>11.69</v>
      </c>
      <c r="O23" s="14">
        <v>34.317</v>
      </c>
      <c r="P23" s="14">
        <v>33.051000000000002</v>
      </c>
      <c r="Q23" s="14">
        <v>29.613</v>
      </c>
      <c r="R23" s="14">
        <v>40.966000000000008</v>
      </c>
      <c r="S23" s="14">
        <v>45.417646344580781</v>
      </c>
      <c r="T23" s="14">
        <v>81.983527032208599</v>
      </c>
      <c r="U23" s="14">
        <v>103.0717802735478</v>
      </c>
      <c r="V23" s="14">
        <v>104.62165994463494</v>
      </c>
      <c r="W23" s="14">
        <v>117.58975075999999</v>
      </c>
      <c r="X23" s="14">
        <v>137.33563637999998</v>
      </c>
      <c r="Y23" s="14">
        <v>142.03805548177979</v>
      </c>
      <c r="Z23" s="14">
        <v>143.32641463319601</v>
      </c>
      <c r="AA23" s="14">
        <v>123.07574775000685</v>
      </c>
      <c r="AB23" s="14">
        <v>124.12234562464394</v>
      </c>
      <c r="AC23" s="14">
        <v>129.20731079028852</v>
      </c>
    </row>
    <row r="24" spans="1:29" x14ac:dyDescent="0.3">
      <c r="A24" s="3" t="s">
        <v>16</v>
      </c>
      <c r="B24" s="14"/>
      <c r="C24" s="13"/>
      <c r="D24" s="13"/>
      <c r="E24" s="13"/>
      <c r="F24" s="13"/>
      <c r="G24" s="13"/>
      <c r="H24" s="13"/>
      <c r="I24" s="14">
        <v>0</v>
      </c>
      <c r="J24" s="14">
        <v>0</v>
      </c>
      <c r="K24" s="14">
        <v>7.3357919999999996</v>
      </c>
      <c r="L24" s="14">
        <v>12.783614</v>
      </c>
      <c r="M24" s="14">
        <v>10.945</v>
      </c>
      <c r="N24" s="14">
        <v>1.9160000000000001</v>
      </c>
      <c r="O24" s="14">
        <v>2.6859999999999999</v>
      </c>
      <c r="P24" s="14">
        <v>13.702999999999999</v>
      </c>
      <c r="Q24" s="14">
        <v>19.423000000000002</v>
      </c>
      <c r="R24" s="14">
        <v>16.574999999999999</v>
      </c>
      <c r="S24" s="14">
        <v>18.944000000000003</v>
      </c>
      <c r="T24" s="14">
        <v>17.029</v>
      </c>
      <c r="U24" s="14">
        <v>16.539000000000001</v>
      </c>
      <c r="V24" s="14">
        <v>17.150860000000002</v>
      </c>
      <c r="W24" s="14">
        <v>13.699218109999999</v>
      </c>
      <c r="X24" s="14">
        <v>15.82068001</v>
      </c>
      <c r="Y24" s="14">
        <v>3.7805556300000003</v>
      </c>
      <c r="Z24" s="14">
        <v>0</v>
      </c>
      <c r="AA24" s="14">
        <v>0</v>
      </c>
      <c r="AB24" s="14">
        <v>0</v>
      </c>
      <c r="AC24" s="14">
        <v>0</v>
      </c>
    </row>
    <row r="25" spans="1:29" x14ac:dyDescent="0.3">
      <c r="A25" s="15" t="s">
        <v>17</v>
      </c>
      <c r="B25" s="17"/>
      <c r="C25" s="16"/>
      <c r="D25" s="16"/>
      <c r="E25" s="16"/>
      <c r="F25" s="16"/>
      <c r="G25" s="16"/>
      <c r="H25" s="16"/>
      <c r="I25" s="17">
        <v>32.396467000000001</v>
      </c>
      <c r="J25" s="17">
        <v>60.796000000000006</v>
      </c>
      <c r="K25" s="17">
        <v>57.715699999999998</v>
      </c>
      <c r="L25" s="17">
        <v>50.467999999999996</v>
      </c>
      <c r="M25" s="17">
        <v>60.793999999999997</v>
      </c>
      <c r="N25" s="17">
        <v>84.284073000000006</v>
      </c>
      <c r="O25" s="17">
        <v>121.37700000000001</v>
      </c>
      <c r="P25" s="17">
        <v>167.82153500000001</v>
      </c>
      <c r="Q25" s="17">
        <v>206.07</v>
      </c>
      <c r="R25" s="17">
        <v>450.61399999999998</v>
      </c>
      <c r="S25" s="17">
        <v>665.78700000000003</v>
      </c>
      <c r="T25" s="17">
        <v>735.25799999999992</v>
      </c>
      <c r="U25" s="17">
        <v>774.92800000000011</v>
      </c>
      <c r="V25" s="17">
        <v>889.87153267000031</v>
      </c>
      <c r="W25" s="17">
        <v>1165.6736138581355</v>
      </c>
      <c r="X25" s="17">
        <v>1349.0548305800012</v>
      </c>
      <c r="Y25" s="17">
        <v>1188.7150776858068</v>
      </c>
      <c r="Z25" s="17">
        <v>1154.3087401820858</v>
      </c>
      <c r="AA25" s="17">
        <v>1048.7735607922825</v>
      </c>
      <c r="AB25" s="17">
        <v>1147.6342112133163</v>
      </c>
      <c r="AC25" s="17">
        <v>1218.7803640678694</v>
      </c>
    </row>
    <row r="26" spans="1:29" x14ac:dyDescent="0.3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</row>
    <row r="27" spans="1:29" x14ac:dyDescent="0.3">
      <c r="A27" s="1" t="s">
        <v>18</v>
      </c>
      <c r="B27" s="9"/>
      <c r="C27" s="8"/>
      <c r="D27" s="8"/>
      <c r="E27" s="8"/>
      <c r="F27" s="8"/>
      <c r="G27" s="8"/>
      <c r="H27" s="8"/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6.3641124555784589</v>
      </c>
      <c r="O27" s="9">
        <v>37.555568953339552</v>
      </c>
      <c r="P27" s="9">
        <v>133.33627743174091</v>
      </c>
      <c r="Q27" s="9">
        <v>201.74735241000002</v>
      </c>
      <c r="R27" s="9">
        <v>269.22548631675994</v>
      </c>
      <c r="S27" s="9">
        <v>585.19569462041227</v>
      </c>
      <c r="T27" s="9">
        <v>650.71316627530348</v>
      </c>
      <c r="U27" s="9">
        <v>705.13302527611995</v>
      </c>
      <c r="V27" s="9">
        <v>418.35822758030849</v>
      </c>
      <c r="W27" s="9">
        <v>383.33405450000021</v>
      </c>
      <c r="X27" s="9">
        <v>468.54869518550242</v>
      </c>
      <c r="Y27" s="9">
        <v>395.67574336662574</v>
      </c>
      <c r="Z27" s="9">
        <v>438.58188496018988</v>
      </c>
      <c r="AA27" s="9">
        <v>389.69820998965622</v>
      </c>
      <c r="AB27" s="9">
        <v>483.68001870069014</v>
      </c>
      <c r="AC27" s="9">
        <v>589.03063194481331</v>
      </c>
    </row>
    <row r="28" spans="1:29" x14ac:dyDescent="0.3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</row>
    <row r="29" spans="1:29" x14ac:dyDescent="0.3">
      <c r="A29" s="1" t="s">
        <v>19</v>
      </c>
      <c r="B29" s="9"/>
      <c r="C29" s="8"/>
      <c r="D29" s="8"/>
      <c r="E29" s="8"/>
      <c r="F29" s="8"/>
      <c r="G29" s="8"/>
      <c r="H29" s="8"/>
      <c r="I29" s="9">
        <v>32.396467000000001</v>
      </c>
      <c r="J29" s="9">
        <v>58.52</v>
      </c>
      <c r="K29" s="9">
        <v>56.651584999999997</v>
      </c>
      <c r="L29" s="9">
        <v>48.94</v>
      </c>
      <c r="M29" s="9">
        <v>56.475000000000001</v>
      </c>
      <c r="N29" s="9">
        <v>70.120072999999991</v>
      </c>
      <c r="O29" s="9">
        <v>97.018000000000001</v>
      </c>
      <c r="P29" s="9">
        <v>167.82153500000001</v>
      </c>
      <c r="Q29" s="9">
        <v>206.07</v>
      </c>
      <c r="R29" s="9">
        <v>450.61399999999998</v>
      </c>
      <c r="S29" s="9">
        <v>665.78700000000003</v>
      </c>
      <c r="T29" s="9">
        <v>735.25799999999992</v>
      </c>
      <c r="U29" s="9">
        <v>774.92800000000011</v>
      </c>
      <c r="V29" s="9">
        <v>889.87153267000031</v>
      </c>
      <c r="W29" s="9">
        <v>1165.6736138581355</v>
      </c>
      <c r="X29" s="9">
        <v>1349.0548305800012</v>
      </c>
      <c r="Y29" s="9">
        <v>1188.7150776858068</v>
      </c>
      <c r="Z29" s="9">
        <v>1154.3087401820858</v>
      </c>
      <c r="AA29" s="9">
        <v>1048.7735607922825</v>
      </c>
      <c r="AB29" s="9">
        <v>1147.6342112133163</v>
      </c>
      <c r="AC29" s="9">
        <v>1218.7803640678694</v>
      </c>
    </row>
    <row r="30" spans="1:29" x14ac:dyDescent="0.3">
      <c r="A30" s="19" t="s">
        <v>20</v>
      </c>
      <c r="B30" s="14"/>
      <c r="C30" s="13"/>
      <c r="D30" s="13"/>
      <c r="E30" s="13"/>
      <c r="F30" s="13"/>
      <c r="G30" s="13"/>
      <c r="H30" s="13"/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3.4039999999999999</v>
      </c>
      <c r="T30" s="14">
        <v>8.6370000000000005</v>
      </c>
      <c r="U30" s="14">
        <v>6.968</v>
      </c>
      <c r="V30" s="14">
        <v>8.1636831100000009</v>
      </c>
      <c r="W30" s="14">
        <v>13.01393015</v>
      </c>
      <c r="X30" s="14">
        <v>13.35987628</v>
      </c>
      <c r="Y30" s="14">
        <v>13.349297637854249</v>
      </c>
      <c r="Z30" s="14">
        <v>12.739486380552911</v>
      </c>
      <c r="AA30" s="14">
        <v>10.521308590524175</v>
      </c>
      <c r="AB30" s="14">
        <v>8.5400159598782608</v>
      </c>
      <c r="AC30" s="14">
        <v>9.260124851395183</v>
      </c>
    </row>
    <row r="31" spans="1:29" x14ac:dyDescent="0.3">
      <c r="A31" s="20" t="s">
        <v>21</v>
      </c>
      <c r="B31" s="14"/>
      <c r="C31" s="13"/>
      <c r="D31" s="13"/>
      <c r="E31" s="13"/>
      <c r="F31" s="13"/>
      <c r="G31" s="13"/>
      <c r="H31" s="13"/>
      <c r="I31" s="14">
        <v>0</v>
      </c>
      <c r="J31" s="14">
        <v>0</v>
      </c>
      <c r="K31" s="14">
        <v>0</v>
      </c>
      <c r="L31" s="14">
        <v>0</v>
      </c>
      <c r="M31" s="14">
        <v>1.8280000000000001</v>
      </c>
      <c r="N31" s="14">
        <v>7.3889999999999993</v>
      </c>
      <c r="O31" s="14">
        <v>16.519000000000002</v>
      </c>
      <c r="P31" s="14">
        <v>26.170875000000002</v>
      </c>
      <c r="Q31" s="14">
        <v>28.065999999999999</v>
      </c>
      <c r="R31" s="14">
        <v>60.308</v>
      </c>
      <c r="S31" s="14">
        <v>94.436000000000007</v>
      </c>
      <c r="T31" s="14">
        <v>111.89</v>
      </c>
      <c r="U31" s="14">
        <v>91.602000000000004</v>
      </c>
      <c r="V31" s="14">
        <v>110.01571606000002</v>
      </c>
      <c r="W31" s="14">
        <v>123.75669402</v>
      </c>
      <c r="X31" s="14">
        <v>136.94839082999999</v>
      </c>
      <c r="Y31" s="14">
        <v>135.29763707046823</v>
      </c>
      <c r="Z31" s="14">
        <v>128.00352215669361</v>
      </c>
      <c r="AA31" s="14">
        <v>99.559942675491044</v>
      </c>
      <c r="AB31" s="14">
        <v>106.08929466276342</v>
      </c>
      <c r="AC31" s="14">
        <v>111.08422784188357</v>
      </c>
    </row>
    <row r="32" spans="1:29" x14ac:dyDescent="0.3">
      <c r="A32" s="21" t="s">
        <v>22</v>
      </c>
      <c r="B32" s="14"/>
      <c r="C32" s="13"/>
      <c r="D32" s="13"/>
      <c r="E32" s="13"/>
      <c r="F32" s="13"/>
      <c r="G32" s="13"/>
      <c r="H32" s="13"/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26.986000000000001</v>
      </c>
      <c r="T32" s="14">
        <v>36.385000000000005</v>
      </c>
      <c r="U32" s="14">
        <v>26.577999999999999</v>
      </c>
      <c r="V32" s="14">
        <v>21.494967249999995</v>
      </c>
      <c r="W32" s="14">
        <v>23.151997039999994</v>
      </c>
      <c r="X32" s="14">
        <v>25.430970100000003</v>
      </c>
      <c r="Y32" s="14">
        <v>19.471722414004947</v>
      </c>
      <c r="Z32" s="14">
        <v>11.105866538469053</v>
      </c>
      <c r="AA32" s="14">
        <v>9.2476361649999994</v>
      </c>
      <c r="AB32" s="14">
        <v>11.7008691672361</v>
      </c>
      <c r="AC32" s="14">
        <v>10.571452747336879</v>
      </c>
    </row>
    <row r="33" spans="1:29" x14ac:dyDescent="0.3">
      <c r="A33" s="21" t="s">
        <v>23</v>
      </c>
      <c r="B33" s="14"/>
      <c r="C33" s="13"/>
      <c r="D33" s="13"/>
      <c r="E33" s="13"/>
      <c r="F33" s="13"/>
      <c r="G33" s="13"/>
      <c r="H33" s="13"/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58.795000000000002</v>
      </c>
      <c r="T33" s="14">
        <v>62.007000000000005</v>
      </c>
      <c r="U33" s="14">
        <v>70.396000000000001</v>
      </c>
      <c r="V33" s="14">
        <v>98.99915021000001</v>
      </c>
      <c r="W33" s="14">
        <v>128.45467009999999</v>
      </c>
      <c r="X33" s="14">
        <v>125.94247692999998</v>
      </c>
      <c r="Y33" s="14">
        <v>19.639767820001126</v>
      </c>
      <c r="Z33" s="14">
        <v>23.141743824999999</v>
      </c>
      <c r="AA33" s="14">
        <v>3.803457946316398</v>
      </c>
      <c r="AB33" s="14">
        <v>4.3190683148879998</v>
      </c>
      <c r="AC33" s="14">
        <v>4.1327596440432268</v>
      </c>
    </row>
    <row r="34" spans="1:29" x14ac:dyDescent="0.3">
      <c r="A34" s="21" t="s">
        <v>24</v>
      </c>
      <c r="B34" s="14"/>
      <c r="C34" s="13"/>
      <c r="D34" s="13"/>
      <c r="E34" s="13"/>
      <c r="F34" s="13"/>
      <c r="G34" s="13"/>
      <c r="H34" s="13"/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4">
        <v>40.186</v>
      </c>
      <c r="T34" s="14">
        <v>86.125</v>
      </c>
      <c r="U34" s="14">
        <v>78.635999999999996</v>
      </c>
      <c r="V34" s="14">
        <v>77.275945059999998</v>
      </c>
      <c r="W34" s="14">
        <v>103.59600806000026</v>
      </c>
      <c r="X34" s="14">
        <v>107.78029000999993</v>
      </c>
      <c r="Y34" s="14">
        <v>92.269363976411725</v>
      </c>
      <c r="Z34" s="14">
        <v>92.206185752140073</v>
      </c>
      <c r="AA34" s="14">
        <v>68.476145095011844</v>
      </c>
      <c r="AB34" s="14">
        <v>50.162602342464474</v>
      </c>
      <c r="AC34" s="14">
        <v>45.36639027641256</v>
      </c>
    </row>
    <row r="35" spans="1:29" x14ac:dyDescent="0.3">
      <c r="A35" s="20" t="s">
        <v>25</v>
      </c>
      <c r="B35" s="14"/>
      <c r="C35" s="13"/>
      <c r="D35" s="13"/>
      <c r="E35" s="13"/>
      <c r="F35" s="13"/>
      <c r="G35" s="13"/>
      <c r="H35" s="13"/>
      <c r="I35" s="14">
        <v>1.4083167899999998</v>
      </c>
      <c r="J35" s="14">
        <v>2.2759999999999998</v>
      </c>
      <c r="K35" s="14">
        <v>1.0641149999999999</v>
      </c>
      <c r="L35" s="14">
        <v>1.528</v>
      </c>
      <c r="M35" s="14">
        <v>2.4909999999999997</v>
      </c>
      <c r="N35" s="14">
        <v>6.7750000000000004</v>
      </c>
      <c r="O35" s="14">
        <v>7.84</v>
      </c>
      <c r="P35" s="14">
        <v>8.1788680000000014</v>
      </c>
      <c r="Q35" s="14">
        <v>10.106999999999999</v>
      </c>
      <c r="R35" s="14">
        <v>15.391000000000002</v>
      </c>
      <c r="S35" s="14">
        <v>20.183</v>
      </c>
      <c r="T35" s="14">
        <v>21.686</v>
      </c>
      <c r="U35" s="14">
        <v>35.418999999999997</v>
      </c>
      <c r="V35" s="14">
        <v>38.194017709999997</v>
      </c>
      <c r="W35" s="14">
        <v>37.036455250000003</v>
      </c>
      <c r="X35" s="14">
        <v>48.713354249999995</v>
      </c>
      <c r="Y35" s="14">
        <v>60.230900867000024</v>
      </c>
      <c r="Z35" s="14">
        <v>54.923775817743426</v>
      </c>
      <c r="AA35" s="14">
        <v>70.586542390206247</v>
      </c>
      <c r="AB35" s="14">
        <v>58.904983433999988</v>
      </c>
      <c r="AC35" s="14">
        <v>58.904246459859593</v>
      </c>
    </row>
    <row r="36" spans="1:29" x14ac:dyDescent="0.3">
      <c r="A36" s="19" t="s">
        <v>26</v>
      </c>
      <c r="B36" s="14"/>
      <c r="C36" s="13"/>
      <c r="D36" s="13"/>
      <c r="E36" s="13"/>
      <c r="F36" s="13"/>
      <c r="G36" s="13"/>
      <c r="H36" s="13"/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4">
        <v>0.60799999999999998</v>
      </c>
      <c r="T36" s="14">
        <v>1.7329999999999999</v>
      </c>
      <c r="U36" s="14">
        <v>6.4359999999999999</v>
      </c>
      <c r="V36" s="14">
        <v>4.1206120500000001</v>
      </c>
      <c r="W36" s="14">
        <v>0.3009464</v>
      </c>
      <c r="X36" s="14">
        <v>0.17818217</v>
      </c>
      <c r="Y36" s="14">
        <v>4.6105759999999996E-2</v>
      </c>
      <c r="Z36" s="14">
        <v>0</v>
      </c>
      <c r="AA36" s="14">
        <v>1.9798E-4</v>
      </c>
      <c r="AB36" s="14">
        <v>0</v>
      </c>
      <c r="AC36" s="14">
        <v>0</v>
      </c>
    </row>
    <row r="37" spans="1:29" x14ac:dyDescent="0.3">
      <c r="A37" s="19" t="s">
        <v>27</v>
      </c>
      <c r="B37" s="14"/>
      <c r="C37" s="13"/>
      <c r="D37" s="13"/>
      <c r="E37" s="13"/>
      <c r="F37" s="13"/>
      <c r="G37" s="13"/>
      <c r="H37" s="13"/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4">
        <v>3.6459999999999999</v>
      </c>
      <c r="T37" s="14">
        <v>11.52</v>
      </c>
      <c r="U37" s="14">
        <v>16.106000000000002</v>
      </c>
      <c r="V37" s="14">
        <v>31.629172400000009</v>
      </c>
      <c r="W37" s="14">
        <v>55.830443349999996</v>
      </c>
      <c r="X37" s="14">
        <v>59.38073661</v>
      </c>
      <c r="Y37" s="14">
        <v>46.684187666419291</v>
      </c>
      <c r="Z37" s="14">
        <v>40.71519878000457</v>
      </c>
      <c r="AA37" s="14">
        <v>41.146520078813523</v>
      </c>
      <c r="AB37" s="14">
        <v>50.041232989803817</v>
      </c>
      <c r="AC37" s="14">
        <v>57.250486141941543</v>
      </c>
    </row>
    <row r="38" spans="1:29" x14ac:dyDescent="0.3">
      <c r="A38" s="21" t="s">
        <v>28</v>
      </c>
      <c r="B38" s="14"/>
      <c r="C38" s="13"/>
      <c r="D38" s="13"/>
      <c r="E38" s="13"/>
      <c r="F38" s="13"/>
      <c r="G38" s="13"/>
      <c r="H38" s="13"/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4">
        <v>24.696000000000002</v>
      </c>
      <c r="T38" s="14">
        <v>34.867999999999995</v>
      </c>
      <c r="U38" s="14">
        <v>36.812999999999995</v>
      </c>
      <c r="V38" s="14">
        <v>44.430741910000009</v>
      </c>
      <c r="W38" s="14">
        <v>55.386861939999974</v>
      </c>
      <c r="X38" s="14">
        <v>47.948231159999978</v>
      </c>
      <c r="Y38" s="14">
        <v>51.253008702879256</v>
      </c>
      <c r="Z38" s="14">
        <v>49.623534387388716</v>
      </c>
      <c r="AA38" s="14">
        <v>27.467712571265917</v>
      </c>
      <c r="AB38" s="14">
        <v>19.637506589531984</v>
      </c>
      <c r="AC38" s="14">
        <v>16.107022642680224</v>
      </c>
    </row>
    <row r="39" spans="1:29" x14ac:dyDescent="0.3">
      <c r="A39" s="2" t="s">
        <v>29</v>
      </c>
      <c r="B39" s="14"/>
      <c r="C39" s="13"/>
      <c r="D39" s="13"/>
      <c r="E39" s="13"/>
      <c r="F39" s="13"/>
      <c r="G39" s="13"/>
      <c r="H39" s="13"/>
      <c r="I39" s="14">
        <v>2.1471911399999999</v>
      </c>
      <c r="J39" s="14">
        <v>3.714</v>
      </c>
      <c r="K39" s="14">
        <v>2.6673020000000003</v>
      </c>
      <c r="L39" s="14">
        <v>2.069</v>
      </c>
      <c r="M39" s="14">
        <v>4.758</v>
      </c>
      <c r="N39" s="14">
        <v>3.2959999999999998</v>
      </c>
      <c r="O39" s="14">
        <v>5.4779999999999998</v>
      </c>
      <c r="P39" s="14">
        <v>6.6820000000000004</v>
      </c>
      <c r="Q39" s="14">
        <v>6.3220000000000001</v>
      </c>
      <c r="R39" s="14">
        <v>8.9870000000000001</v>
      </c>
      <c r="S39" s="14">
        <v>11.632999999999999</v>
      </c>
      <c r="T39" s="14">
        <v>14.099</v>
      </c>
      <c r="U39" s="14">
        <v>9.4580000000000002</v>
      </c>
      <c r="V39" s="14">
        <v>13.099070880000003</v>
      </c>
      <c r="W39" s="14">
        <v>12.981663529999997</v>
      </c>
      <c r="X39" s="14">
        <v>16.041444449999997</v>
      </c>
      <c r="Y39" s="14">
        <v>16.91789379235653</v>
      </c>
      <c r="Z39" s="14">
        <v>26.407346342616677</v>
      </c>
      <c r="AA39" s="14">
        <v>40.756589532169571</v>
      </c>
      <c r="AB39" s="14">
        <v>34.549912887301403</v>
      </c>
      <c r="AC39" s="14">
        <v>45.445140536984894</v>
      </c>
    </row>
    <row r="40" spans="1:29" x14ac:dyDescent="0.3">
      <c r="A40" s="20" t="s">
        <v>30</v>
      </c>
      <c r="B40" s="14"/>
      <c r="C40" s="13"/>
      <c r="D40" s="13"/>
      <c r="E40" s="13"/>
      <c r="F40" s="13"/>
      <c r="G40" s="13"/>
      <c r="H40" s="13"/>
      <c r="I40" s="14">
        <v>0</v>
      </c>
      <c r="J40" s="14">
        <v>0</v>
      </c>
      <c r="K40" s="14">
        <v>0</v>
      </c>
      <c r="L40" s="14">
        <v>0</v>
      </c>
      <c r="M40" s="14">
        <v>7.4999999999999997E-2</v>
      </c>
      <c r="N40" s="14">
        <v>7.0000000000000001E-3</v>
      </c>
      <c r="O40" s="14">
        <v>0</v>
      </c>
      <c r="P40" s="14">
        <v>1.4E-2</v>
      </c>
      <c r="Q40" s="14">
        <v>0</v>
      </c>
      <c r="R40" s="14">
        <v>4.3999999999999997E-2</v>
      </c>
      <c r="S40" s="14">
        <v>0.11900000000000001</v>
      </c>
      <c r="T40" s="14">
        <v>4.8000000000000001E-2</v>
      </c>
      <c r="U40" s="14">
        <v>3.1E-2</v>
      </c>
      <c r="V40" s="14">
        <v>0.11836797</v>
      </c>
      <c r="W40" s="14">
        <v>0.87263961999999995</v>
      </c>
      <c r="X40" s="14">
        <v>1.7577300000000001E-3</v>
      </c>
      <c r="Y40" s="14">
        <v>0.73582753768208153</v>
      </c>
      <c r="Z40" s="14">
        <v>2.6060130494992575</v>
      </c>
      <c r="AA40" s="14">
        <v>5.9866864140748506</v>
      </c>
      <c r="AB40" s="14">
        <v>1.0213339530331211</v>
      </c>
      <c r="AC40" s="14">
        <v>3.8884078771733432</v>
      </c>
    </row>
    <row r="41" spans="1:29" x14ac:dyDescent="0.3">
      <c r="A41" s="20" t="s">
        <v>31</v>
      </c>
      <c r="B41" s="14"/>
      <c r="C41" s="13"/>
      <c r="D41" s="13"/>
      <c r="E41" s="13"/>
      <c r="F41" s="13"/>
      <c r="G41" s="13"/>
      <c r="H41" s="13"/>
      <c r="I41" s="14">
        <v>5.0000000000000001E-3</v>
      </c>
      <c r="J41" s="14">
        <v>7.8E-2</v>
      </c>
      <c r="K41" s="14">
        <v>0.13100000000000001</v>
      </c>
      <c r="L41" s="14">
        <v>6.1000000000000006E-2</v>
      </c>
      <c r="M41" s="14">
        <v>7.1000000000000008E-2</v>
      </c>
      <c r="N41" s="14">
        <v>6.6000000000000003E-2</v>
      </c>
      <c r="O41" s="14">
        <v>0.13600000000000001</v>
      </c>
      <c r="P41" s="14">
        <v>0.08</v>
      </c>
      <c r="Q41" s="14">
        <v>0.309</v>
      </c>
      <c r="R41" s="14">
        <v>0.55300000000000005</v>
      </c>
      <c r="S41" s="14">
        <v>3.165</v>
      </c>
      <c r="T41" s="14">
        <v>5.7060000000000004</v>
      </c>
      <c r="U41" s="14">
        <v>2.1059999999999999</v>
      </c>
      <c r="V41" s="14">
        <v>0.88168564000000005</v>
      </c>
      <c r="W41" s="14">
        <v>4.6626498699999992</v>
      </c>
      <c r="X41" s="14">
        <v>20.063456990000002</v>
      </c>
      <c r="Y41" s="14">
        <v>30.418849127980149</v>
      </c>
      <c r="Z41" s="14">
        <v>43.323293440023363</v>
      </c>
      <c r="AA41" s="14">
        <v>49.230319097815212</v>
      </c>
      <c r="AB41" s="14">
        <v>59.964703219639148</v>
      </c>
      <c r="AC41" s="14">
        <v>64.14812591959128</v>
      </c>
    </row>
    <row r="42" spans="1:29" x14ac:dyDescent="0.3">
      <c r="A42" s="20" t="s">
        <v>32</v>
      </c>
      <c r="B42" s="14"/>
      <c r="C42" s="13"/>
      <c r="D42" s="13"/>
      <c r="E42" s="13"/>
      <c r="F42" s="13"/>
      <c r="G42" s="13"/>
      <c r="H42" s="13"/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0.434</v>
      </c>
      <c r="Q42" s="14">
        <v>0</v>
      </c>
      <c r="R42" s="14">
        <v>0</v>
      </c>
      <c r="S42" s="14">
        <v>0</v>
      </c>
      <c r="T42" s="14">
        <v>0</v>
      </c>
      <c r="U42" s="14">
        <v>0</v>
      </c>
      <c r="V42" s="14">
        <v>0</v>
      </c>
      <c r="W42" s="14">
        <v>0</v>
      </c>
      <c r="X42" s="14">
        <v>0</v>
      </c>
      <c r="Y42" s="14">
        <v>0</v>
      </c>
      <c r="Z42" s="14">
        <v>0</v>
      </c>
      <c r="AA42" s="14">
        <v>0</v>
      </c>
      <c r="AB42" s="14">
        <v>0</v>
      </c>
      <c r="AC42" s="14">
        <v>0</v>
      </c>
    </row>
    <row r="43" spans="1:29" x14ac:dyDescent="0.3">
      <c r="A43" s="2" t="s">
        <v>33</v>
      </c>
      <c r="B43" s="14"/>
      <c r="C43" s="13"/>
      <c r="D43" s="13"/>
      <c r="E43" s="13"/>
      <c r="F43" s="13"/>
      <c r="G43" s="13"/>
      <c r="H43" s="13"/>
      <c r="I43" s="14">
        <v>1.9156228899999999</v>
      </c>
      <c r="J43" s="14">
        <v>0.77200000000000002</v>
      </c>
      <c r="K43" s="14">
        <v>1.446509</v>
      </c>
      <c r="L43" s="14">
        <v>2.0540000000000003</v>
      </c>
      <c r="M43" s="14">
        <v>1.2690000000000001</v>
      </c>
      <c r="N43" s="14">
        <v>1.198</v>
      </c>
      <c r="O43" s="14">
        <v>1.7280000000000002</v>
      </c>
      <c r="P43" s="14">
        <v>5.383</v>
      </c>
      <c r="Q43" s="14">
        <v>2.843</v>
      </c>
      <c r="R43" s="14">
        <v>9.6869999999999994</v>
      </c>
      <c r="S43" s="14">
        <v>8.27</v>
      </c>
      <c r="T43" s="14">
        <v>9.7789999999999999</v>
      </c>
      <c r="U43" s="14">
        <v>12.283000000000001</v>
      </c>
      <c r="V43" s="14">
        <v>13.8731635</v>
      </c>
      <c r="W43" s="14">
        <v>26.294318259999997</v>
      </c>
      <c r="X43" s="14">
        <v>31.644909549999987</v>
      </c>
      <c r="Y43" s="14">
        <v>35.759670269137047</v>
      </c>
      <c r="Z43" s="14">
        <v>37.090371330956799</v>
      </c>
      <c r="AA43" s="14">
        <v>28.498656856533401</v>
      </c>
      <c r="AB43" s="14">
        <v>24.563887903198847</v>
      </c>
      <c r="AC43" s="14">
        <v>27.2223104492736</v>
      </c>
    </row>
    <row r="44" spans="1:29" x14ac:dyDescent="0.3">
      <c r="A44" s="21" t="s">
        <v>34</v>
      </c>
      <c r="B44" s="14"/>
      <c r="C44" s="13"/>
      <c r="D44" s="13"/>
      <c r="E44" s="13"/>
      <c r="F44" s="13"/>
      <c r="G44" s="13"/>
      <c r="H44" s="13"/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4">
        <v>5.8849999999999998</v>
      </c>
      <c r="T44" s="14">
        <v>14.247</v>
      </c>
      <c r="U44" s="14">
        <v>17.628</v>
      </c>
      <c r="V44" s="14">
        <v>13.622050459999999</v>
      </c>
      <c r="W44" s="14">
        <v>28.681417209999989</v>
      </c>
      <c r="X44" s="14">
        <v>40.524469179999997</v>
      </c>
      <c r="Y44" s="14">
        <v>29.660730009693886</v>
      </c>
      <c r="Z44" s="14">
        <v>28.401867881034345</v>
      </c>
      <c r="AA44" s="14">
        <v>24.000562394378516</v>
      </c>
      <c r="AB44" s="14">
        <v>22.889620074824151</v>
      </c>
      <c r="AC44" s="14">
        <v>29.078809251536363</v>
      </c>
    </row>
    <row r="45" spans="1:29" x14ac:dyDescent="0.3">
      <c r="A45" s="2" t="s">
        <v>35</v>
      </c>
      <c r="B45" s="14"/>
      <c r="C45" s="13"/>
      <c r="D45" s="13"/>
      <c r="E45" s="13"/>
      <c r="F45" s="13"/>
      <c r="G45" s="13"/>
      <c r="H45" s="13"/>
      <c r="I45" s="14">
        <v>1.9561894399999997</v>
      </c>
      <c r="J45" s="14">
        <v>1.714</v>
      </c>
      <c r="K45" s="14">
        <v>2.089054</v>
      </c>
      <c r="L45" s="14">
        <v>2.0270000000000001</v>
      </c>
      <c r="M45" s="14">
        <v>2.7509999999999999</v>
      </c>
      <c r="N45" s="14">
        <v>4.2479999999999993</v>
      </c>
      <c r="O45" s="14">
        <v>6.6989999999999998</v>
      </c>
      <c r="P45" s="14">
        <v>7.7230000000000008</v>
      </c>
      <c r="Q45" s="14">
        <v>4.7130000000000001</v>
      </c>
      <c r="R45" s="14">
        <v>11.138</v>
      </c>
      <c r="S45" s="14">
        <v>16.296999999999997</v>
      </c>
      <c r="T45" s="14">
        <v>12.690000000000001</v>
      </c>
      <c r="U45" s="14">
        <v>16.126000000000001</v>
      </c>
      <c r="V45" s="14">
        <v>22.033030869999997</v>
      </c>
      <c r="W45" s="14">
        <v>32.828889779999997</v>
      </c>
      <c r="X45" s="14">
        <v>31.992135860000012</v>
      </c>
      <c r="Y45" s="14">
        <v>32.839604427665343</v>
      </c>
      <c r="Z45" s="14">
        <v>30.279482535451145</v>
      </c>
      <c r="AA45" s="14">
        <v>24.730391524054173</v>
      </c>
      <c r="AB45" s="14">
        <v>23.533857504111218</v>
      </c>
      <c r="AC45" s="14">
        <v>27.110658066334519</v>
      </c>
    </row>
    <row r="46" spans="1:29" x14ac:dyDescent="0.3">
      <c r="A46" s="21" t="s">
        <v>36</v>
      </c>
      <c r="B46" s="14"/>
      <c r="C46" s="13"/>
      <c r="D46" s="13"/>
      <c r="E46" s="13"/>
      <c r="F46" s="13"/>
      <c r="G46" s="13"/>
      <c r="H46" s="13"/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4">
        <v>29.240000000000002</v>
      </c>
      <c r="T46" s="14">
        <v>39.981000000000002</v>
      </c>
      <c r="U46" s="14">
        <v>56.137999999999998</v>
      </c>
      <c r="V46" s="14">
        <v>68.882278069999984</v>
      </c>
      <c r="W46" s="14">
        <v>105.26588062000002</v>
      </c>
      <c r="X46" s="14">
        <v>101.39644915</v>
      </c>
      <c r="Y46" s="14">
        <v>70.348331540313779</v>
      </c>
      <c r="Z46" s="14">
        <v>75.817430351952154</v>
      </c>
      <c r="AA46" s="14">
        <v>61.462158123987663</v>
      </c>
      <c r="AB46" s="14">
        <v>126.6820218870344</v>
      </c>
      <c r="AC46" s="14">
        <v>84.830576994666544</v>
      </c>
    </row>
    <row r="47" spans="1:29" x14ac:dyDescent="0.3">
      <c r="A47" s="21" t="s">
        <v>37</v>
      </c>
      <c r="B47" s="14"/>
      <c r="C47" s="13"/>
      <c r="D47" s="13"/>
      <c r="E47" s="13"/>
      <c r="F47" s="13"/>
      <c r="G47" s="13"/>
      <c r="H47" s="13"/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0.38300000000000001</v>
      </c>
      <c r="T47" s="14">
        <v>0.19400000000000001</v>
      </c>
      <c r="U47" s="14">
        <v>0.14299999999999999</v>
      </c>
      <c r="V47" s="14">
        <v>0</v>
      </c>
      <c r="W47" s="14">
        <v>0</v>
      </c>
      <c r="X47" s="14">
        <v>0</v>
      </c>
      <c r="Y47" s="14">
        <v>0</v>
      </c>
      <c r="Z47" s="14">
        <v>0</v>
      </c>
      <c r="AA47" s="14">
        <v>0</v>
      </c>
      <c r="AB47" s="14">
        <v>0</v>
      </c>
      <c r="AC47" s="14">
        <v>0</v>
      </c>
    </row>
    <row r="48" spans="1:29" x14ac:dyDescent="0.3">
      <c r="A48" s="20" t="s">
        <v>38</v>
      </c>
      <c r="B48" s="14"/>
      <c r="C48" s="13"/>
      <c r="D48" s="13"/>
      <c r="E48" s="13"/>
      <c r="F48" s="13"/>
      <c r="G48" s="13"/>
      <c r="H48" s="13"/>
      <c r="I48" s="14">
        <v>1.181</v>
      </c>
      <c r="J48" s="14">
        <v>0.69200000000000006</v>
      </c>
      <c r="K48" s="14">
        <v>6.4998E-2</v>
      </c>
      <c r="L48" s="14">
        <v>3.7880000000000003</v>
      </c>
      <c r="M48" s="14">
        <v>4.8550000000000004</v>
      </c>
      <c r="N48" s="14">
        <v>8.036999999999999</v>
      </c>
      <c r="O48" s="14">
        <v>12.675000000000001</v>
      </c>
      <c r="P48" s="14">
        <v>5.0629960000000001</v>
      </c>
      <c r="Q48" s="14">
        <v>6.1680000000000001</v>
      </c>
      <c r="R48" s="14">
        <v>5.3689999999999998</v>
      </c>
      <c r="S48" s="14">
        <v>5.4700000000000006</v>
      </c>
      <c r="T48" s="14">
        <v>3.528</v>
      </c>
      <c r="U48" s="14">
        <v>4.3469999999999995</v>
      </c>
      <c r="V48" s="14">
        <v>3.5031359800000001</v>
      </c>
      <c r="W48" s="14">
        <v>3.6508955400000001</v>
      </c>
      <c r="X48" s="14">
        <v>0.10020999999999999</v>
      </c>
      <c r="Y48" s="14">
        <v>1.368166419</v>
      </c>
      <c r="Z48" s="14">
        <v>2.4584721251033015</v>
      </c>
      <c r="AA48" s="14">
        <v>4.8018897100000002</v>
      </c>
      <c r="AB48" s="14">
        <v>6.2594365610544038</v>
      </c>
      <c r="AC48" s="14">
        <v>9.2631690435323932</v>
      </c>
    </row>
    <row r="49" spans="1:29" x14ac:dyDescent="0.3">
      <c r="A49" s="21" t="s">
        <v>39</v>
      </c>
      <c r="B49" s="14"/>
      <c r="C49" s="13"/>
      <c r="D49" s="13"/>
      <c r="E49" s="13"/>
      <c r="F49" s="13"/>
      <c r="G49" s="13"/>
      <c r="H49" s="13"/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4">
        <v>6.4250000000000007</v>
      </c>
      <c r="T49" s="14">
        <v>8.5249999999999986</v>
      </c>
      <c r="U49" s="14">
        <v>7.2489999999999997</v>
      </c>
      <c r="V49" s="14">
        <v>4.3532641400000003</v>
      </c>
      <c r="W49" s="14">
        <v>13.660532629999995</v>
      </c>
      <c r="X49" s="14">
        <v>25.261712669999984</v>
      </c>
      <c r="Y49" s="14">
        <v>23.922187389834438</v>
      </c>
      <c r="Z49" s="14">
        <v>17.835619437366777</v>
      </c>
      <c r="AA49" s="14">
        <v>9.5802332878577854</v>
      </c>
      <c r="AB49" s="14">
        <v>8.3921558617778924</v>
      </c>
      <c r="AC49" s="14">
        <v>11.570060586885003</v>
      </c>
    </row>
    <row r="50" spans="1:29" x14ac:dyDescent="0.3">
      <c r="A50" s="15" t="s">
        <v>40</v>
      </c>
      <c r="B50" s="17"/>
      <c r="C50" s="16"/>
      <c r="D50" s="16"/>
      <c r="E50" s="16"/>
      <c r="F50" s="16"/>
      <c r="G50" s="16"/>
      <c r="H50" s="16"/>
      <c r="I50" s="17">
        <v>23.783146739999999</v>
      </c>
      <c r="J50" s="17">
        <v>51.55</v>
      </c>
      <c r="K50" s="17">
        <v>50.252721999999999</v>
      </c>
      <c r="L50" s="17">
        <v>38.941000000000003</v>
      </c>
      <c r="M50" s="17">
        <v>42.695999999999998</v>
      </c>
      <c r="N50" s="17">
        <v>53.268073000000001</v>
      </c>
      <c r="O50" s="17">
        <v>70.301999999999992</v>
      </c>
      <c r="P50" s="17">
        <v>108.09279599999999</v>
      </c>
      <c r="Q50" s="17">
        <v>147.54199999999997</v>
      </c>
      <c r="R50" s="17">
        <v>339.137</v>
      </c>
      <c r="S50" s="17">
        <v>305.95999999999998</v>
      </c>
      <c r="T50" s="17">
        <v>249.47399999999999</v>
      </c>
      <c r="U50" s="17">
        <v>277.98900000000003</v>
      </c>
      <c r="V50" s="17">
        <v>312.18475601000023</v>
      </c>
      <c r="W50" s="17">
        <v>391.08186826813528</v>
      </c>
      <c r="X50" s="17">
        <v>512.23343211000156</v>
      </c>
      <c r="Y50" s="17">
        <v>508.50182525710477</v>
      </c>
      <c r="Z50" s="17">
        <v>477.62953005008967</v>
      </c>
      <c r="AA50" s="17">
        <v>468.91661035878218</v>
      </c>
      <c r="AB50" s="17">
        <v>530.38170790077561</v>
      </c>
      <c r="AC50" s="17">
        <v>603.54639473633847</v>
      </c>
    </row>
    <row r="51" spans="1:29" x14ac:dyDescent="0.3">
      <c r="A51" s="20"/>
      <c r="B51" s="100"/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Z51" s="2"/>
      <c r="AA51" s="2"/>
      <c r="AB51" s="2"/>
      <c r="AC51" s="2"/>
    </row>
    <row r="52" spans="1:29" x14ac:dyDescent="0.3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</row>
    <row r="53" spans="1:29" x14ac:dyDescent="0.3">
      <c r="A53" s="22" t="s">
        <v>157</v>
      </c>
      <c r="B53" s="9"/>
      <c r="C53" s="8"/>
      <c r="D53" s="8"/>
      <c r="E53" s="8"/>
      <c r="F53" s="8"/>
      <c r="G53" s="8"/>
      <c r="H53" s="8"/>
      <c r="I53" s="9">
        <v>458.41039917000001</v>
      </c>
      <c r="J53" s="9">
        <v>549.13926400000003</v>
      </c>
      <c r="K53" s="9">
        <v>432.51644899999997</v>
      </c>
      <c r="L53" s="9">
        <v>431.68686299999996</v>
      </c>
      <c r="M53" s="9">
        <v>443.36198768999998</v>
      </c>
      <c r="N53" s="9">
        <v>473.45565705999996</v>
      </c>
      <c r="O53" s="9">
        <v>610.72039927000003</v>
      </c>
      <c r="P53" s="9">
        <v>724.08855938399779</v>
      </c>
      <c r="Q53" s="9">
        <v>0</v>
      </c>
      <c r="R53" s="9">
        <v>1197.1168250000001</v>
      </c>
      <c r="S53" s="9">
        <v>1482.9085088712573</v>
      </c>
      <c r="T53" s="9">
        <v>1565.6834340322089</v>
      </c>
      <c r="U53" s="9">
        <v>1612.1646702735477</v>
      </c>
      <c r="V53" s="9">
        <v>1879.4121913920326</v>
      </c>
      <c r="W53" s="9">
        <v>2284.0972863381357</v>
      </c>
      <c r="X53" s="9">
        <v>2443.5570917200016</v>
      </c>
      <c r="Y53" s="9">
        <v>2310.6533261772493</v>
      </c>
      <c r="Z53" s="9">
        <v>2299.7871954643188</v>
      </c>
      <c r="AA53" s="9">
        <v>2298.1302706551992</v>
      </c>
      <c r="AB53" s="9">
        <v>2790.2612142948196</v>
      </c>
      <c r="AC53" s="9">
        <v>2947.6172137916315</v>
      </c>
    </row>
    <row r="54" spans="1:29" x14ac:dyDescent="0.3">
      <c r="A54" s="24" t="s">
        <v>41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9" x14ac:dyDescent="0.3">
      <c r="A55" s="24" t="s">
        <v>42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9" x14ac:dyDescent="0.3">
      <c r="A56" s="24" t="s">
        <v>43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9" x14ac:dyDescent="0.3">
      <c r="A57" s="24" t="s">
        <v>44</v>
      </c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</row>
    <row r="58" spans="1:29" x14ac:dyDescent="0.3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</row>
    <row r="59" spans="1:29" x14ac:dyDescent="0.3">
      <c r="A59" s="26" t="s">
        <v>45</v>
      </c>
      <c r="B59" s="9"/>
      <c r="C59" s="8"/>
      <c r="D59" s="8"/>
      <c r="E59" s="8"/>
      <c r="F59" s="8"/>
      <c r="G59" s="8"/>
      <c r="H59" s="8"/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6.3641124555784589</v>
      </c>
      <c r="O59" s="9">
        <v>37.555568953339552</v>
      </c>
      <c r="P59" s="9">
        <v>133.33627743174091</v>
      </c>
      <c r="Q59" s="9">
        <v>201.74735241000002</v>
      </c>
      <c r="R59" s="9">
        <v>269.22548631675994</v>
      </c>
      <c r="S59" s="9">
        <v>585.19569462041227</v>
      </c>
      <c r="T59" s="9">
        <v>650.71316627530348</v>
      </c>
      <c r="U59" s="9">
        <v>705.13302527611995</v>
      </c>
      <c r="V59" s="9">
        <v>418.35822758030849</v>
      </c>
      <c r="W59" s="9">
        <v>383.33405450000021</v>
      </c>
      <c r="X59" s="9">
        <v>468.54869518550242</v>
      </c>
      <c r="Y59" s="9">
        <v>395.67574336662574</v>
      </c>
      <c r="Z59" s="9">
        <v>438.58188496018988</v>
      </c>
      <c r="AA59" s="9">
        <v>389.69820998965622</v>
      </c>
      <c r="AB59" s="9">
        <v>483.68001870069014</v>
      </c>
      <c r="AC59" s="9">
        <v>589.03063194481331</v>
      </c>
    </row>
    <row r="60" spans="1:29" x14ac:dyDescent="0.3">
      <c r="A60" s="19" t="s">
        <v>12</v>
      </c>
      <c r="B60" s="14"/>
      <c r="C60" s="13"/>
      <c r="D60" s="13"/>
      <c r="E60" s="13"/>
      <c r="F60" s="13"/>
      <c r="G60" s="13"/>
      <c r="H60" s="13"/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0.92147263352293818</v>
      </c>
      <c r="O60" s="14">
        <v>5.4377463108075421</v>
      </c>
      <c r="P60" s="14">
        <v>25.52240236334206</v>
      </c>
      <c r="Q60" s="14">
        <v>21.727793890000001</v>
      </c>
      <c r="R60" s="14">
        <v>21.760777916840002</v>
      </c>
      <c r="S60" s="14">
        <v>17.090901946622978</v>
      </c>
      <c r="T60" s="14">
        <v>18.320208517437184</v>
      </c>
      <c r="U60" s="14">
        <v>28.631373689349999</v>
      </c>
      <c r="V60" s="14">
        <v>14.263565550000001</v>
      </c>
      <c r="W60" s="14">
        <v>21.393000569999998</v>
      </c>
      <c r="X60" s="14">
        <v>59.510161519999976</v>
      </c>
      <c r="Y60" s="14">
        <v>23.837364117690001</v>
      </c>
      <c r="Z60" s="14">
        <v>31.48116564899</v>
      </c>
      <c r="AA60" s="14">
        <v>20.233954224716641</v>
      </c>
      <c r="AB60" s="14">
        <v>45.575033024600003</v>
      </c>
      <c r="AC60" s="14">
        <v>23.852625260242409</v>
      </c>
    </row>
    <row r="61" spans="1:29" x14ac:dyDescent="0.3">
      <c r="A61" s="19" t="s">
        <v>13</v>
      </c>
      <c r="B61" s="14"/>
      <c r="C61" s="13"/>
      <c r="D61" s="13"/>
      <c r="E61" s="13"/>
      <c r="F61" s="13"/>
      <c r="G61" s="13"/>
      <c r="H61" s="13"/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0.84007078366406618</v>
      </c>
      <c r="O61" s="14">
        <v>4.9573819541682163</v>
      </c>
      <c r="P61" s="14">
        <v>22.48129079616972</v>
      </c>
      <c r="Q61" s="14">
        <v>25.358989979999997</v>
      </c>
      <c r="R61" s="14">
        <v>13.312259600960001</v>
      </c>
      <c r="S61" s="14">
        <v>17.620509568676699</v>
      </c>
      <c r="T61" s="14">
        <v>22.459272026642459</v>
      </c>
      <c r="U61" s="14">
        <v>37.274762173529993</v>
      </c>
      <c r="V61" s="14">
        <v>22.217029329999999</v>
      </c>
      <c r="W61" s="14">
        <v>19.414613039999995</v>
      </c>
      <c r="X61" s="14">
        <v>22.06015318</v>
      </c>
      <c r="Y61" s="14">
        <v>22.696142627455</v>
      </c>
      <c r="Z61" s="14">
        <v>20.953113956419998</v>
      </c>
      <c r="AA61" s="14">
        <v>22.699470467406123</v>
      </c>
      <c r="AB61" s="14">
        <v>39.94681531266</v>
      </c>
      <c r="AC61" s="14">
        <v>56.163937382877059</v>
      </c>
    </row>
    <row r="62" spans="1:29" x14ac:dyDescent="0.3">
      <c r="A62" s="19" t="s">
        <v>36</v>
      </c>
      <c r="B62" s="14"/>
      <c r="C62" s="13"/>
      <c r="D62" s="13"/>
      <c r="E62" s="13"/>
      <c r="F62" s="13"/>
      <c r="G62" s="13"/>
      <c r="H62" s="13"/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2.1278711043147491E-2</v>
      </c>
      <c r="O62" s="14">
        <v>0.12556882132380184</v>
      </c>
      <c r="P62" s="14">
        <v>0.80571021442284729</v>
      </c>
      <c r="Q62" s="14">
        <v>0.52256466000000001</v>
      </c>
      <c r="R62" s="14">
        <v>0.41372409523999998</v>
      </c>
      <c r="S62" s="14">
        <v>1.08195392552828</v>
      </c>
      <c r="T62" s="14">
        <v>6.4934594929237006</v>
      </c>
      <c r="U62" s="14">
        <v>5.8996062296399998</v>
      </c>
      <c r="V62" s="14">
        <v>3.2629376499999996</v>
      </c>
      <c r="W62" s="14">
        <v>3.1748403899999995</v>
      </c>
      <c r="X62" s="14">
        <v>3.5493821899999993</v>
      </c>
      <c r="Y62" s="14">
        <v>1.9829535666999998</v>
      </c>
      <c r="Z62" s="14">
        <v>4.6438117891400008</v>
      </c>
      <c r="AA62" s="14">
        <v>1.5839474263278122</v>
      </c>
      <c r="AB62" s="14">
        <v>2.97639955534</v>
      </c>
      <c r="AC62" s="14">
        <v>0.37019878024333319</v>
      </c>
    </row>
    <row r="63" spans="1:29" x14ac:dyDescent="0.3">
      <c r="A63" s="19" t="s">
        <v>46</v>
      </c>
      <c r="B63" s="14"/>
      <c r="C63" s="13"/>
      <c r="D63" s="13"/>
      <c r="E63" s="13"/>
      <c r="F63" s="13"/>
      <c r="G63" s="13"/>
      <c r="H63" s="13"/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0.17763614386290677</v>
      </c>
      <c r="O63" s="14">
        <v>1.0482571601325301</v>
      </c>
      <c r="P63" s="14">
        <v>6.0057111796434128</v>
      </c>
      <c r="Q63" s="14">
        <v>4.1734317099999991</v>
      </c>
      <c r="R63" s="14">
        <v>5.2414236964000009</v>
      </c>
      <c r="S63" s="14">
        <v>8.5535641996813414</v>
      </c>
      <c r="T63" s="14">
        <v>7.0692495191151608</v>
      </c>
      <c r="U63" s="14">
        <v>10.50660697935</v>
      </c>
      <c r="V63" s="14">
        <v>9.6565399500000009</v>
      </c>
      <c r="W63" s="14">
        <v>7.9575865499999976</v>
      </c>
      <c r="X63" s="14">
        <v>8.5353734600000006</v>
      </c>
      <c r="Y63" s="14">
        <v>4.3612666256300008</v>
      </c>
      <c r="Z63" s="14">
        <v>5.19621083971</v>
      </c>
      <c r="AA63" s="14">
        <v>3.064938152080837</v>
      </c>
      <c r="AB63" s="14">
        <v>5.8106854551599998</v>
      </c>
      <c r="AC63" s="14">
        <v>10.356230651618887</v>
      </c>
    </row>
    <row r="64" spans="1:29" x14ac:dyDescent="0.3">
      <c r="A64" s="19" t="s">
        <v>47</v>
      </c>
      <c r="B64" s="14"/>
      <c r="C64" s="13"/>
      <c r="D64" s="13"/>
      <c r="E64" s="13"/>
      <c r="F64" s="13"/>
      <c r="G64" s="13"/>
      <c r="H64" s="13"/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0.20470437777234446</v>
      </c>
      <c r="O64" s="14">
        <v>1.2079908122523859</v>
      </c>
      <c r="P64" s="14">
        <v>4.7783830482247307</v>
      </c>
      <c r="Q64" s="14">
        <v>5.8127697299999994</v>
      </c>
      <c r="R64" s="14">
        <v>6.5138069676799999</v>
      </c>
      <c r="S64" s="14">
        <v>10.14166047088068</v>
      </c>
      <c r="T64" s="14">
        <v>9.9744786786435817</v>
      </c>
      <c r="U64" s="14">
        <v>10.605084272320003</v>
      </c>
      <c r="V64" s="14">
        <v>5.9745734199999978</v>
      </c>
      <c r="W64" s="14">
        <v>4.9630270100000011</v>
      </c>
      <c r="X64" s="14">
        <v>5.8564754999999975</v>
      </c>
      <c r="Y64" s="14">
        <v>4.9002247768500018</v>
      </c>
      <c r="Z64" s="14">
        <v>5.0263008852000004</v>
      </c>
      <c r="AA64" s="14">
        <v>4.1908491850232448</v>
      </c>
      <c r="AB64" s="14">
        <v>4.0977684155800009</v>
      </c>
      <c r="AC64" s="14">
        <v>6.1538019444918515</v>
      </c>
    </row>
    <row r="65" spans="1:256" x14ac:dyDescent="0.3">
      <c r="A65" s="19" t="s">
        <v>48</v>
      </c>
      <c r="B65" s="14"/>
      <c r="C65" s="13"/>
      <c r="D65" s="13"/>
      <c r="E65" s="13"/>
      <c r="F65" s="13"/>
      <c r="G65" s="13"/>
      <c r="H65" s="13"/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0.5289455951740637</v>
      </c>
      <c r="O65" s="14">
        <v>3.1213861965484679</v>
      </c>
      <c r="P65" s="14">
        <v>10.121814841024985</v>
      </c>
      <c r="Q65" s="14">
        <v>19.568764510000001</v>
      </c>
      <c r="R65" s="14">
        <v>26.252292611839998</v>
      </c>
      <c r="S65" s="14">
        <v>51.669320964186355</v>
      </c>
      <c r="T65" s="14">
        <v>49.979149716768021</v>
      </c>
      <c r="U65" s="14">
        <v>68.179506547940008</v>
      </c>
      <c r="V65" s="14">
        <v>49.388350650000007</v>
      </c>
      <c r="W65" s="14">
        <v>53.03484258000001</v>
      </c>
      <c r="X65" s="14">
        <v>67.483783400000036</v>
      </c>
      <c r="Y65" s="14">
        <v>68.470586610914935</v>
      </c>
      <c r="Z65" s="14">
        <v>66.684869422699975</v>
      </c>
      <c r="AA65" s="14">
        <v>45.275937284999678</v>
      </c>
      <c r="AB65" s="14">
        <v>42.772210598320015</v>
      </c>
      <c r="AC65" s="14">
        <v>62.662825393457211</v>
      </c>
    </row>
    <row r="66" spans="1:256" x14ac:dyDescent="0.3">
      <c r="A66" s="19" t="s">
        <v>49</v>
      </c>
      <c r="B66" s="14"/>
      <c r="C66" s="13"/>
      <c r="D66" s="13"/>
      <c r="E66" s="13"/>
      <c r="F66" s="13"/>
      <c r="G66" s="13"/>
      <c r="H66" s="13"/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1.1288465741438087</v>
      </c>
      <c r="O66" s="14">
        <v>6.6614906082996823</v>
      </c>
      <c r="P66" s="14">
        <v>24.736313521438369</v>
      </c>
      <c r="Q66" s="14">
        <v>34.656217690000005</v>
      </c>
      <c r="R66" s="14">
        <v>34.717585119760002</v>
      </c>
      <c r="S66" s="14">
        <v>41.937381132432108</v>
      </c>
      <c r="T66" s="14">
        <v>37.284616254251425</v>
      </c>
      <c r="U66" s="14">
        <v>45.031800661780004</v>
      </c>
      <c r="V66" s="14">
        <v>34.378672539999997</v>
      </c>
      <c r="W66" s="14">
        <v>30.550176549999996</v>
      </c>
      <c r="X66" s="14">
        <v>39.89698134999999</v>
      </c>
      <c r="Y66" s="14">
        <v>35.868185056330006</v>
      </c>
      <c r="Z66" s="14">
        <v>41.909932877269995</v>
      </c>
      <c r="AA66" s="14">
        <v>40.376178360031354</v>
      </c>
      <c r="AB66" s="14">
        <v>36.980455366819996</v>
      </c>
      <c r="AC66" s="14">
        <v>46.497421039383511</v>
      </c>
    </row>
    <row r="67" spans="1:256" x14ac:dyDescent="0.3">
      <c r="A67" s="19" t="s">
        <v>50</v>
      </c>
      <c r="B67" s="14"/>
      <c r="C67" s="13"/>
      <c r="D67" s="13"/>
      <c r="E67" s="13"/>
      <c r="F67" s="13"/>
      <c r="G67" s="13"/>
      <c r="H67" s="13"/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2.5192881623479089</v>
      </c>
      <c r="O67" s="14">
        <v>14.866692088612567</v>
      </c>
      <c r="P67" s="14">
        <v>38.327806943886927</v>
      </c>
      <c r="Q67" s="14">
        <v>89.011008220000008</v>
      </c>
      <c r="R67" s="14">
        <v>159.59599930835998</v>
      </c>
      <c r="S67" s="14">
        <v>432.93462291779917</v>
      </c>
      <c r="T67" s="14">
        <v>497.14156923711136</v>
      </c>
      <c r="U67" s="14">
        <v>497.0782815316</v>
      </c>
      <c r="V67" s="14">
        <v>278.00081514030853</v>
      </c>
      <c r="W67" s="14">
        <v>241.02471596000021</v>
      </c>
      <c r="X67" s="14">
        <v>260.18829904550239</v>
      </c>
      <c r="Y67" s="14">
        <v>232.4549582626058</v>
      </c>
      <c r="Z67" s="14">
        <v>261.31773739377985</v>
      </c>
      <c r="AA67" s="14">
        <v>250.9071360762471</v>
      </c>
      <c r="AB67" s="14">
        <v>304.62546587219015</v>
      </c>
      <c r="AC67" s="14">
        <v>381.47864406647625</v>
      </c>
    </row>
    <row r="68" spans="1:256" x14ac:dyDescent="0.3">
      <c r="A68" s="19" t="s">
        <v>51</v>
      </c>
      <c r="B68" s="14"/>
      <c r="C68" s="13"/>
      <c r="D68" s="13"/>
      <c r="E68" s="13"/>
      <c r="F68" s="13"/>
      <c r="G68" s="13"/>
      <c r="H68" s="13"/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2.186947404727542E-2</v>
      </c>
      <c r="O68" s="14">
        <v>0.12905500119436036</v>
      </c>
      <c r="P68" s="14">
        <v>0.5568445235878603</v>
      </c>
      <c r="Q68" s="14">
        <v>0.91581201999999995</v>
      </c>
      <c r="R68" s="14">
        <v>1.4176169996800001</v>
      </c>
      <c r="S68" s="14">
        <v>4.1657794946045597</v>
      </c>
      <c r="T68" s="14">
        <v>1.9911628324105801</v>
      </c>
      <c r="U68" s="14">
        <v>1.9260031906100001</v>
      </c>
      <c r="V68" s="14">
        <v>1.2157433499999999</v>
      </c>
      <c r="W68" s="14">
        <v>1.8212518500000001</v>
      </c>
      <c r="X68" s="14">
        <v>1.4680855400000001</v>
      </c>
      <c r="Y68" s="14">
        <v>1.1040617224499998</v>
      </c>
      <c r="Z68" s="14">
        <v>1.3687421469800001</v>
      </c>
      <c r="AA68" s="14">
        <v>1.3657988128234502</v>
      </c>
      <c r="AB68" s="14">
        <v>0.89518510001999974</v>
      </c>
      <c r="AC68" s="14">
        <v>1.4949474260227777</v>
      </c>
    </row>
    <row r="69" spans="1:256" x14ac:dyDescent="0.3">
      <c r="A69" s="19"/>
      <c r="B69" s="9"/>
      <c r="C69" s="8"/>
      <c r="D69" s="8"/>
      <c r="E69" s="8"/>
      <c r="F69" s="8"/>
      <c r="G69" s="8"/>
      <c r="H69" s="8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</row>
    <row r="70" spans="1:256" x14ac:dyDescent="0.3">
      <c r="A70" s="26" t="s">
        <v>52</v>
      </c>
      <c r="B70" s="9"/>
      <c r="C70" s="8"/>
      <c r="D70" s="8"/>
      <c r="E70" s="8"/>
      <c r="F70" s="8"/>
      <c r="G70" s="8"/>
      <c r="H70" s="8"/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5.2352658814346498</v>
      </c>
      <c r="O70" s="9">
        <v>30.894078345039869</v>
      </c>
      <c r="P70" s="9">
        <v>108.59996391030253</v>
      </c>
      <c r="Q70" s="9">
        <v>167.09113472000001</v>
      </c>
      <c r="R70" s="9">
        <v>234.50790119699997</v>
      </c>
      <c r="S70" s="9">
        <v>543.2583134879801</v>
      </c>
      <c r="T70" s="9">
        <v>613.42855002105205</v>
      </c>
      <c r="U70" s="9">
        <v>660.10122461434003</v>
      </c>
      <c r="V70" s="9">
        <v>383.97955504030847</v>
      </c>
      <c r="W70" s="9">
        <v>352.78387795000015</v>
      </c>
      <c r="X70" s="9">
        <v>428.65171383550251</v>
      </c>
      <c r="Y70" s="9">
        <v>359.80755831029569</v>
      </c>
      <c r="Z70" s="9">
        <v>396.67195208291997</v>
      </c>
      <c r="AA70" s="9">
        <v>349.32203162962492</v>
      </c>
      <c r="AB70" s="9">
        <v>441.70894086182017</v>
      </c>
      <c r="AC70" s="9">
        <v>542.53321090542977</v>
      </c>
    </row>
    <row r="73" spans="1:256" s="62" customFormat="1" x14ac:dyDescent="0.3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</row>
    <row r="76" spans="1:256" s="29" customFormat="1" ht="21" x14ac:dyDescent="0.4">
      <c r="A76" s="128" t="s">
        <v>80</v>
      </c>
      <c r="B76" s="30"/>
    </row>
    <row r="77" spans="1:256" s="29" customFormat="1" ht="21" x14ac:dyDescent="0.4">
      <c r="A77" s="128" t="s">
        <v>81</v>
      </c>
      <c r="B77" s="30"/>
    </row>
    <row r="78" spans="1:256" s="29" customFormat="1" x14ac:dyDescent="0.3">
      <c r="A78" s="33"/>
      <c r="B78" s="33"/>
    </row>
    <row r="79" spans="1:256" s="37" customFormat="1" x14ac:dyDescent="0.3">
      <c r="A79" s="34"/>
      <c r="B79" s="35" t="s">
        <v>82</v>
      </c>
      <c r="C79" s="108" t="s">
        <v>78</v>
      </c>
      <c r="D79" s="108" t="s">
        <v>78</v>
      </c>
      <c r="E79" s="108" t="s">
        <v>78</v>
      </c>
      <c r="F79" s="108" t="s">
        <v>78</v>
      </c>
      <c r="G79" s="108" t="s">
        <v>78</v>
      </c>
      <c r="H79" s="108" t="s">
        <v>78</v>
      </c>
      <c r="I79" s="108" t="s">
        <v>78</v>
      </c>
      <c r="J79" s="108" t="s">
        <v>78</v>
      </c>
      <c r="K79" s="108" t="s">
        <v>78</v>
      </c>
      <c r="L79" s="108" t="s">
        <v>78</v>
      </c>
      <c r="M79" s="108" t="s">
        <v>78</v>
      </c>
      <c r="N79" s="108" t="s">
        <v>78</v>
      </c>
      <c r="O79" s="108" t="s">
        <v>78</v>
      </c>
      <c r="P79" s="108" t="s">
        <v>78</v>
      </c>
      <c r="Q79" s="108" t="s">
        <v>78</v>
      </c>
      <c r="R79" s="108" t="s">
        <v>78</v>
      </c>
      <c r="S79" s="108" t="s">
        <v>78</v>
      </c>
      <c r="T79" s="108" t="s">
        <v>78</v>
      </c>
      <c r="U79" s="108" t="s">
        <v>78</v>
      </c>
      <c r="V79" s="108" t="s">
        <v>78</v>
      </c>
      <c r="W79" s="108" t="s">
        <v>78</v>
      </c>
      <c r="X79" s="108" t="s">
        <v>78</v>
      </c>
      <c r="Y79" s="108" t="s">
        <v>78</v>
      </c>
      <c r="Z79" s="108" t="s">
        <v>78</v>
      </c>
      <c r="AA79" s="108" t="s">
        <v>78</v>
      </c>
      <c r="AB79" s="108" t="s">
        <v>78</v>
      </c>
      <c r="AC79" s="108" t="s">
        <v>78</v>
      </c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  <c r="BI79" s="36"/>
      <c r="BJ79" s="36"/>
      <c r="BK79" s="36"/>
      <c r="BL79" s="36"/>
      <c r="BM79" s="36"/>
      <c r="BN79" s="36"/>
      <c r="BO79" s="36"/>
      <c r="BP79" s="36"/>
      <c r="BQ79" s="36"/>
      <c r="BR79" s="36"/>
      <c r="BS79" s="36"/>
      <c r="BT79" s="36"/>
      <c r="BU79" s="36"/>
      <c r="BV79" s="36"/>
      <c r="BW79" s="36"/>
      <c r="BX79" s="36"/>
      <c r="BY79" s="36"/>
      <c r="BZ79" s="36"/>
      <c r="CA79" s="36"/>
      <c r="CB79" s="36"/>
      <c r="CC79" s="36"/>
      <c r="CD79" s="36"/>
      <c r="CE79" s="36"/>
      <c r="CF79" s="36"/>
      <c r="CG79" s="36"/>
      <c r="CH79" s="36"/>
      <c r="CI79" s="36"/>
      <c r="CJ79" s="36"/>
      <c r="CK79" s="36"/>
      <c r="CL79" s="36"/>
      <c r="CM79" s="36"/>
      <c r="CN79" s="36"/>
      <c r="CO79" s="36"/>
      <c r="CP79" s="36"/>
      <c r="CQ79" s="36"/>
      <c r="CR79" s="36"/>
      <c r="CS79" s="36"/>
      <c r="CT79" s="36"/>
      <c r="CU79" s="36"/>
      <c r="CV79" s="36"/>
      <c r="CW79" s="36"/>
      <c r="CX79" s="36"/>
      <c r="CY79" s="36"/>
      <c r="CZ79" s="36"/>
      <c r="DA79" s="36"/>
      <c r="DB79" s="36"/>
      <c r="DC79" s="36"/>
      <c r="DD79" s="36"/>
      <c r="DE79" s="36"/>
      <c r="DF79" s="36"/>
      <c r="DG79" s="36"/>
      <c r="DH79" s="36"/>
      <c r="DI79" s="36"/>
      <c r="DJ79" s="36"/>
      <c r="DK79" s="36"/>
      <c r="DL79" s="36"/>
      <c r="DM79" s="36"/>
      <c r="DN79" s="36"/>
      <c r="DO79" s="36"/>
      <c r="DP79" s="36"/>
      <c r="DQ79" s="36"/>
      <c r="DR79" s="36"/>
      <c r="DS79" s="36"/>
      <c r="DT79" s="36"/>
      <c r="DU79" s="36"/>
      <c r="DV79" s="36"/>
      <c r="DW79" s="36"/>
      <c r="DX79" s="36"/>
      <c r="DY79" s="36"/>
      <c r="DZ79" s="36"/>
      <c r="EA79" s="36"/>
      <c r="EB79" s="36"/>
      <c r="EC79" s="36"/>
      <c r="ED79" s="36"/>
      <c r="EE79" s="36"/>
      <c r="EF79" s="36"/>
      <c r="EG79" s="36"/>
      <c r="EH79" s="36"/>
      <c r="EI79" s="36"/>
      <c r="EJ79" s="36"/>
      <c r="EK79" s="36"/>
      <c r="EL79" s="36"/>
      <c r="EM79" s="36"/>
      <c r="EN79" s="36"/>
      <c r="EO79" s="36"/>
      <c r="EP79" s="36"/>
      <c r="EQ79" s="36"/>
      <c r="ER79" s="36"/>
      <c r="ES79" s="36"/>
      <c r="ET79" s="36"/>
      <c r="EU79" s="36"/>
      <c r="EV79" s="36"/>
      <c r="EW79" s="36"/>
      <c r="EX79" s="36"/>
      <c r="EY79" s="36"/>
      <c r="EZ79" s="36"/>
      <c r="FA79" s="36"/>
      <c r="FB79" s="36"/>
      <c r="FC79" s="36"/>
      <c r="FD79" s="36"/>
      <c r="FE79" s="36"/>
      <c r="FF79" s="36"/>
      <c r="FG79" s="36"/>
      <c r="FH79" s="36"/>
      <c r="FI79" s="36"/>
      <c r="FJ79" s="36"/>
      <c r="FK79" s="36"/>
      <c r="FL79" s="36"/>
      <c r="FM79" s="36"/>
      <c r="FN79" s="36"/>
      <c r="FO79" s="36"/>
      <c r="FP79" s="36"/>
      <c r="FQ79" s="36"/>
      <c r="FR79" s="36"/>
      <c r="FS79" s="36"/>
      <c r="FT79" s="36"/>
      <c r="FU79" s="36"/>
      <c r="FV79" s="36"/>
      <c r="FW79" s="36"/>
      <c r="FX79" s="36"/>
      <c r="FY79" s="36"/>
      <c r="FZ79" s="36"/>
      <c r="GA79" s="36"/>
      <c r="GB79" s="36"/>
      <c r="GC79" s="36"/>
      <c r="GD79" s="36"/>
      <c r="GE79" s="36"/>
      <c r="GF79" s="36"/>
      <c r="GG79" s="36"/>
      <c r="GH79" s="36"/>
      <c r="GI79" s="36"/>
      <c r="GJ79" s="36"/>
      <c r="GK79" s="36"/>
      <c r="GL79" s="36"/>
      <c r="GM79" s="36"/>
      <c r="GN79" s="36"/>
      <c r="GO79" s="36"/>
      <c r="GP79" s="36"/>
      <c r="GQ79" s="36"/>
      <c r="GR79" s="36"/>
      <c r="GS79" s="36"/>
      <c r="GT79" s="36"/>
      <c r="GU79" s="36"/>
      <c r="GV79" s="36"/>
      <c r="GW79" s="36"/>
      <c r="GX79" s="36"/>
      <c r="GY79" s="36"/>
      <c r="GZ79" s="36"/>
      <c r="HA79" s="36"/>
      <c r="HB79" s="36"/>
      <c r="HC79" s="36"/>
      <c r="HD79" s="36"/>
      <c r="HE79" s="36"/>
      <c r="HF79" s="36"/>
      <c r="HG79" s="36"/>
      <c r="HH79" s="36"/>
      <c r="HI79" s="36"/>
      <c r="HJ79" s="36"/>
      <c r="HK79" s="36"/>
      <c r="HL79" s="36"/>
      <c r="HM79" s="36"/>
      <c r="HN79" s="36"/>
      <c r="HO79" s="36"/>
      <c r="HP79" s="36"/>
      <c r="HQ79" s="36"/>
      <c r="HR79" s="36"/>
      <c r="HS79" s="36"/>
      <c r="HT79" s="36"/>
      <c r="HU79" s="36"/>
      <c r="HV79" s="36"/>
      <c r="HW79" s="36"/>
      <c r="HX79" s="36"/>
      <c r="HY79" s="36"/>
      <c r="HZ79" s="36"/>
      <c r="IA79" s="36"/>
      <c r="IB79" s="36"/>
      <c r="IC79" s="36"/>
      <c r="ID79" s="36"/>
      <c r="IE79" s="36"/>
      <c r="IF79" s="36"/>
      <c r="IG79" s="36"/>
      <c r="IH79" s="36"/>
      <c r="II79" s="36"/>
      <c r="IJ79" s="36"/>
      <c r="IK79" s="36"/>
      <c r="IL79" s="36"/>
      <c r="IM79" s="36"/>
      <c r="IN79" s="36"/>
      <c r="IO79" s="36"/>
      <c r="IP79" s="36"/>
      <c r="IQ79" s="36"/>
      <c r="IR79" s="36"/>
      <c r="IS79" s="36"/>
      <c r="IT79" s="36"/>
      <c r="IU79" s="36"/>
      <c r="IV79" s="36"/>
    </row>
    <row r="80" spans="1:256" s="40" customFormat="1" ht="16.2" thickBot="1" x14ac:dyDescent="0.35">
      <c r="A80" s="38"/>
      <c r="B80" s="39"/>
      <c r="C80" s="133" t="s">
        <v>146</v>
      </c>
      <c r="D80" s="133" t="s">
        <v>147</v>
      </c>
      <c r="E80" s="133" t="s">
        <v>115</v>
      </c>
      <c r="F80" s="133" t="s">
        <v>116</v>
      </c>
      <c r="G80" s="133" t="s">
        <v>117</v>
      </c>
      <c r="H80" s="133" t="s">
        <v>118</v>
      </c>
      <c r="I80" s="133" t="s">
        <v>79</v>
      </c>
      <c r="J80" s="133" t="s">
        <v>57</v>
      </c>
      <c r="K80" s="133" t="s">
        <v>58</v>
      </c>
      <c r="L80" s="133" t="s">
        <v>59</v>
      </c>
      <c r="M80" s="112" t="s">
        <v>60</v>
      </c>
      <c r="N80" s="112" t="s">
        <v>61</v>
      </c>
      <c r="O80" s="112" t="s">
        <v>62</v>
      </c>
      <c r="P80" s="112" t="s">
        <v>63</v>
      </c>
      <c r="Q80" s="112" t="s">
        <v>64</v>
      </c>
      <c r="R80" s="112" t="s">
        <v>65</v>
      </c>
      <c r="S80" s="112" t="s">
        <v>66</v>
      </c>
      <c r="T80" s="112" t="s">
        <v>67</v>
      </c>
      <c r="U80" s="112" t="s">
        <v>68</v>
      </c>
      <c r="V80" s="112" t="s">
        <v>69</v>
      </c>
      <c r="W80" s="112" t="s">
        <v>153</v>
      </c>
      <c r="X80" s="112" t="s">
        <v>159</v>
      </c>
      <c r="Y80" s="133" t="s">
        <v>164</v>
      </c>
      <c r="Z80" s="133" t="s">
        <v>197</v>
      </c>
      <c r="AA80" s="133" t="s">
        <v>198</v>
      </c>
      <c r="AB80" s="133" t="s">
        <v>201</v>
      </c>
      <c r="AC80" s="133" t="s">
        <v>203</v>
      </c>
    </row>
    <row r="81" spans="1:256" s="29" customFormat="1" ht="16.2" thickTop="1" x14ac:dyDescent="0.3">
      <c r="A81" s="33"/>
      <c r="B81" s="121"/>
    </row>
    <row r="82" spans="1:256" s="29" customFormat="1" x14ac:dyDescent="0.3">
      <c r="A82" s="33" t="s">
        <v>83</v>
      </c>
      <c r="B82" s="122"/>
      <c r="C82" s="43">
        <v>2169050</v>
      </c>
      <c r="D82" s="43">
        <v>2017159</v>
      </c>
      <c r="E82" s="43">
        <v>2596215</v>
      </c>
      <c r="F82" s="43">
        <v>2795266</v>
      </c>
      <c r="G82" s="43">
        <v>3816049</v>
      </c>
      <c r="H82" s="43">
        <v>4408516</v>
      </c>
      <c r="I82" s="43">
        <v>2873959</v>
      </c>
      <c r="J82" s="43">
        <f>SUM('X-Monthly'!CI82:CT82)</f>
        <v>3749872</v>
      </c>
      <c r="K82" s="43">
        <f>SUM('X-Monthly'!CU82:DF82)</f>
        <v>3039059</v>
      </c>
      <c r="L82" s="43">
        <f>SUM('X-Monthly'!DG82:DR82)</f>
        <v>2838976</v>
      </c>
      <c r="M82" s="43">
        <f>SUM('X-Monthly'!DS82:ED82)</f>
        <v>3155771</v>
      </c>
      <c r="N82" s="43">
        <v>2992503</v>
      </c>
      <c r="O82" s="43">
        <v>2552324</v>
      </c>
      <c r="P82" s="43">
        <v>2520251</v>
      </c>
      <c r="Q82" s="43">
        <v>2101916</v>
      </c>
      <c r="R82" s="43">
        <v>2535523</v>
      </c>
      <c r="S82" s="43">
        <v>3028310</v>
      </c>
      <c r="T82" s="43">
        <v>3196987</v>
      </c>
      <c r="U82" s="43">
        <v>2743625</v>
      </c>
      <c r="V82" s="43">
        <v>2778741</v>
      </c>
      <c r="W82" s="43">
        <v>3037585</v>
      </c>
      <c r="X82" s="43">
        <v>3374455.23</v>
      </c>
      <c r="Y82" s="43">
        <v>3653193</v>
      </c>
      <c r="Z82" s="43">
        <v>3259500</v>
      </c>
      <c r="AA82" s="43">
        <v>3556766</v>
      </c>
      <c r="AB82" s="43">
        <v>4188170</v>
      </c>
      <c r="AC82" s="43">
        <v>4458558</v>
      </c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  <c r="BF82" s="43"/>
      <c r="BG82" s="43"/>
      <c r="BH82" s="43"/>
      <c r="BI82" s="43"/>
      <c r="BJ82" s="43"/>
      <c r="BK82" s="43"/>
      <c r="BL82" s="43"/>
      <c r="BM82" s="43"/>
      <c r="BN82" s="43"/>
      <c r="BO82" s="43"/>
      <c r="BP82" s="43"/>
      <c r="BQ82" s="43"/>
      <c r="BR82" s="43"/>
      <c r="BS82" s="43"/>
      <c r="BT82" s="43"/>
      <c r="BU82" s="43"/>
      <c r="BV82" s="43"/>
      <c r="BW82" s="43"/>
      <c r="BX82" s="43"/>
      <c r="BY82" s="43"/>
      <c r="BZ82" s="43"/>
      <c r="CA82" s="43"/>
      <c r="CB82" s="43"/>
      <c r="CC82" s="43"/>
      <c r="CD82" s="43"/>
      <c r="CE82" s="43"/>
      <c r="CF82" s="43"/>
      <c r="CG82" s="43"/>
      <c r="CH82" s="43"/>
      <c r="CI82" s="43"/>
      <c r="CJ82" s="43"/>
      <c r="CK82" s="43"/>
      <c r="CL82" s="43"/>
      <c r="CM82" s="43"/>
      <c r="CN82" s="43"/>
      <c r="CO82" s="43"/>
      <c r="CP82" s="43"/>
      <c r="CQ82" s="43"/>
      <c r="CR82" s="43"/>
      <c r="CS82" s="43"/>
      <c r="CT82" s="43"/>
      <c r="CU82" s="43"/>
      <c r="CV82" s="43"/>
      <c r="CW82" s="43"/>
      <c r="CX82" s="43"/>
      <c r="CY82" s="43"/>
      <c r="CZ82" s="43"/>
      <c r="DA82" s="43"/>
      <c r="DB82" s="43"/>
      <c r="DC82" s="43"/>
      <c r="DD82" s="43"/>
      <c r="DE82" s="43"/>
      <c r="DF82" s="43"/>
      <c r="DG82" s="43"/>
      <c r="DH82" s="43"/>
      <c r="DI82" s="43"/>
      <c r="DJ82" s="43"/>
      <c r="DK82" s="43"/>
      <c r="DL82" s="43"/>
      <c r="DM82" s="43"/>
      <c r="DN82" s="43"/>
      <c r="DO82" s="43"/>
      <c r="DP82" s="43"/>
      <c r="DQ82" s="43"/>
      <c r="DR82" s="43"/>
      <c r="DS82" s="43"/>
      <c r="DT82" s="43"/>
      <c r="DU82" s="43"/>
      <c r="DV82" s="43"/>
      <c r="DW82" s="43"/>
      <c r="DX82" s="43"/>
      <c r="DY82" s="43"/>
      <c r="DZ82" s="43"/>
      <c r="EA82" s="43"/>
      <c r="EB82" s="43"/>
      <c r="EC82" s="43"/>
      <c r="ED82" s="43"/>
      <c r="EE82" s="43"/>
      <c r="EF82" s="43"/>
      <c r="EG82" s="43"/>
      <c r="EH82" s="43"/>
      <c r="EI82" s="43"/>
      <c r="EJ82" s="43"/>
      <c r="EK82" s="43"/>
      <c r="EL82" s="43"/>
      <c r="EM82" s="43"/>
      <c r="EN82" s="43"/>
      <c r="EO82" s="43"/>
      <c r="EP82" s="43"/>
      <c r="EQ82" s="43"/>
      <c r="ER82" s="43"/>
      <c r="ES82" s="43"/>
      <c r="ET82" s="43"/>
      <c r="EU82" s="43"/>
      <c r="EV82" s="43"/>
      <c r="EW82" s="43"/>
      <c r="EX82" s="43"/>
      <c r="EY82" s="43"/>
      <c r="EZ82" s="43"/>
      <c r="FA82" s="43"/>
      <c r="FB82" s="43"/>
      <c r="FC82" s="43"/>
      <c r="FD82" s="43"/>
      <c r="FE82" s="43"/>
      <c r="FF82" s="43"/>
      <c r="FG82" s="43"/>
      <c r="FH82" s="43"/>
      <c r="FI82" s="43"/>
      <c r="FJ82" s="43"/>
      <c r="FK82" s="43"/>
      <c r="FL82" s="43"/>
      <c r="FM82" s="43"/>
      <c r="FN82" s="43"/>
      <c r="FO82" s="43"/>
      <c r="FP82" s="43"/>
      <c r="FQ82" s="43"/>
      <c r="FR82" s="43"/>
      <c r="FS82" s="43"/>
      <c r="FT82" s="43"/>
      <c r="FU82" s="43"/>
      <c r="FV82" s="43"/>
      <c r="FW82" s="43"/>
      <c r="FX82" s="43"/>
      <c r="FY82" s="43"/>
      <c r="FZ82" s="43"/>
      <c r="GA82" s="43"/>
      <c r="GB82" s="43"/>
      <c r="GC82" s="43"/>
      <c r="GD82" s="43"/>
      <c r="GE82" s="43"/>
      <c r="GF82" s="43"/>
      <c r="GG82" s="43"/>
      <c r="GH82" s="43"/>
      <c r="GI82" s="43"/>
      <c r="GJ82" s="43"/>
      <c r="GK82" s="43"/>
      <c r="GL82" s="43"/>
      <c r="GM82" s="43"/>
      <c r="GN82" s="43"/>
      <c r="GO82" s="43"/>
      <c r="GP82" s="43"/>
      <c r="GQ82" s="43"/>
      <c r="GR82" s="43"/>
      <c r="GS82" s="43"/>
      <c r="GT82" s="43"/>
      <c r="GU82" s="43"/>
      <c r="GV82" s="43"/>
      <c r="GW82" s="43"/>
      <c r="GX82" s="43"/>
      <c r="GY82" s="43"/>
      <c r="GZ82" s="43"/>
      <c r="HA82" s="43"/>
      <c r="HB82" s="43"/>
      <c r="HC82" s="43"/>
      <c r="HD82" s="43"/>
      <c r="HE82" s="43"/>
      <c r="HF82" s="43"/>
      <c r="HG82" s="43"/>
      <c r="HH82" s="43"/>
      <c r="HI82" s="43"/>
      <c r="HJ82" s="43"/>
      <c r="HK82" s="43"/>
      <c r="HL82" s="43"/>
      <c r="HM82" s="43"/>
      <c r="HN82" s="43"/>
      <c r="HO82" s="43"/>
      <c r="HP82" s="43"/>
      <c r="HQ82" s="43"/>
      <c r="HR82" s="43"/>
      <c r="HS82" s="43"/>
      <c r="HT82" s="43"/>
      <c r="HU82" s="43"/>
      <c r="HV82" s="43"/>
      <c r="HW82" s="43"/>
      <c r="HX82" s="43"/>
      <c r="HY82" s="43"/>
      <c r="HZ82" s="43"/>
      <c r="IA82" s="43"/>
      <c r="IB82" s="43"/>
      <c r="IC82" s="43"/>
      <c r="ID82" s="43"/>
      <c r="IE82" s="43"/>
      <c r="IF82" s="43"/>
      <c r="IG82" s="43"/>
      <c r="IH82" s="43"/>
      <c r="II82" s="43"/>
      <c r="IJ82" s="43"/>
      <c r="IK82" s="43"/>
      <c r="IL82" s="43"/>
      <c r="IM82" s="43"/>
      <c r="IN82" s="43"/>
      <c r="IO82" s="43"/>
      <c r="IP82" s="43"/>
      <c r="IQ82" s="43"/>
      <c r="IR82" s="43"/>
      <c r="IS82" s="43"/>
      <c r="IT82" s="43"/>
      <c r="IU82" s="43"/>
      <c r="IV82" s="43"/>
    </row>
    <row r="83" spans="1:256" s="29" customFormat="1" x14ac:dyDescent="0.3">
      <c r="A83" s="33" t="s">
        <v>85</v>
      </c>
      <c r="B83" s="122"/>
      <c r="C83" s="43">
        <v>7467.2399999999989</v>
      </c>
      <c r="D83" s="43">
        <v>4901.1849999999995</v>
      </c>
      <c r="E83" s="43">
        <v>14670.64</v>
      </c>
      <c r="F83" s="43">
        <v>4084.29</v>
      </c>
      <c r="G83" s="43">
        <v>12094.571891891894</v>
      </c>
      <c r="H83" s="43">
        <v>36947.83783783784</v>
      </c>
      <c r="I83" s="43">
        <v>27990.940540540541</v>
      </c>
      <c r="J83" s="43">
        <f>SUM('X-Monthly'!CI83:CT83)</f>
        <v>71238</v>
      </c>
      <c r="K83" s="43">
        <f>SUM('X-Monthly'!CU83:DF83)</f>
        <v>95936.78</v>
      </c>
      <c r="L83" s="43">
        <f>SUM('X-Monthly'!DG83:DR83)</f>
        <v>65034.14</v>
      </c>
      <c r="M83" s="43">
        <f>SUM('X-Monthly'!DS83:ED83)</f>
        <v>82180.7</v>
      </c>
      <c r="N83" s="43">
        <v>66762.507108108111</v>
      </c>
      <c r="O83" s="43">
        <v>100623.38729729732</v>
      </c>
      <c r="P83" s="43">
        <v>222168.95351351349</v>
      </c>
      <c r="Q83" s="43">
        <v>52769.005675675675</v>
      </c>
      <c r="R83" s="43">
        <v>34098.64405405405</v>
      </c>
      <c r="S83" s="43">
        <v>27268.659189189188</v>
      </c>
      <c r="T83" s="43">
        <v>107771.13513513513</v>
      </c>
      <c r="U83" s="43">
        <v>30289.257837837835</v>
      </c>
      <c r="V83" s="43">
        <v>133316.2702702703</v>
      </c>
      <c r="W83" s="43">
        <v>230772.53513513514</v>
      </c>
      <c r="X83" s="43">
        <v>110483.53602666028</v>
      </c>
      <c r="Y83" s="43">
        <v>40506.432432432433</v>
      </c>
      <c r="Z83" s="43">
        <v>58421.179081081085</v>
      </c>
      <c r="AA83" s="43">
        <v>93987.833472972969</v>
      </c>
      <c r="AB83" s="43">
        <v>167542.02702702701</v>
      </c>
      <c r="AC83" s="43">
        <v>141470.78378378379</v>
      </c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  <c r="BK83" s="43"/>
      <c r="BL83" s="43"/>
      <c r="BM83" s="43"/>
      <c r="BN83" s="43"/>
      <c r="BO83" s="43"/>
      <c r="BP83" s="43"/>
      <c r="BQ83" s="43"/>
      <c r="BR83" s="43"/>
      <c r="BS83" s="43"/>
      <c r="BT83" s="43"/>
      <c r="BU83" s="43"/>
      <c r="BV83" s="43"/>
      <c r="BW83" s="43"/>
      <c r="BX83" s="43"/>
      <c r="BY83" s="43"/>
      <c r="BZ83" s="43"/>
      <c r="CA83" s="43"/>
      <c r="CB83" s="43"/>
      <c r="CC83" s="43"/>
      <c r="CD83" s="43"/>
      <c r="CE83" s="43"/>
      <c r="CF83" s="43"/>
      <c r="CG83" s="43"/>
      <c r="CH83" s="43"/>
      <c r="CI83" s="43"/>
      <c r="CJ83" s="43"/>
      <c r="CK83" s="43"/>
      <c r="CL83" s="43"/>
      <c r="CM83" s="43"/>
      <c r="CN83" s="43"/>
      <c r="CO83" s="43"/>
      <c r="CP83" s="43"/>
      <c r="CQ83" s="43"/>
      <c r="CR83" s="43"/>
      <c r="CS83" s="43"/>
      <c r="CT83" s="43"/>
      <c r="CU83" s="43"/>
      <c r="CV83" s="43"/>
      <c r="CW83" s="43"/>
      <c r="CX83" s="43"/>
      <c r="CY83" s="43"/>
      <c r="CZ83" s="43"/>
      <c r="DA83" s="43"/>
      <c r="DB83" s="43"/>
      <c r="DC83" s="43"/>
      <c r="DD83" s="43"/>
      <c r="DE83" s="43"/>
      <c r="DF83" s="43"/>
      <c r="DG83" s="43"/>
      <c r="DH83" s="43"/>
      <c r="DI83" s="43"/>
      <c r="DJ83" s="43"/>
      <c r="DK83" s="43"/>
      <c r="DL83" s="43"/>
      <c r="DM83" s="43"/>
      <c r="DN83" s="43"/>
      <c r="DO83" s="43"/>
      <c r="DP83" s="43"/>
      <c r="DQ83" s="43"/>
      <c r="DR83" s="43"/>
      <c r="DS83" s="43"/>
      <c r="DT83" s="43"/>
      <c r="DU83" s="43"/>
      <c r="DV83" s="43"/>
      <c r="DW83" s="43"/>
      <c r="DX83" s="43"/>
      <c r="DY83" s="43"/>
      <c r="DZ83" s="43"/>
      <c r="EA83" s="43"/>
      <c r="EB83" s="43"/>
      <c r="EC83" s="43"/>
      <c r="ED83" s="43"/>
      <c r="EE83" s="43"/>
      <c r="EF83" s="43"/>
      <c r="EG83" s="43"/>
      <c r="EH83" s="43"/>
      <c r="EI83" s="43"/>
      <c r="EJ83" s="43"/>
      <c r="EK83" s="43"/>
      <c r="EL83" s="43"/>
      <c r="EM83" s="43"/>
      <c r="EN83" s="43"/>
      <c r="EO83" s="43"/>
      <c r="EP83" s="43"/>
      <c r="EQ83" s="43"/>
      <c r="ER83" s="43"/>
      <c r="ES83" s="43"/>
      <c r="ET83" s="43"/>
      <c r="EU83" s="43"/>
      <c r="EV83" s="43"/>
      <c r="EW83" s="43"/>
      <c r="EX83" s="43"/>
      <c r="EY83" s="43"/>
      <c r="EZ83" s="43"/>
      <c r="FA83" s="43"/>
      <c r="FB83" s="43"/>
      <c r="FC83" s="43"/>
      <c r="FD83" s="43"/>
      <c r="FE83" s="43"/>
      <c r="FF83" s="43"/>
      <c r="FG83" s="43"/>
      <c r="FH83" s="43"/>
      <c r="FI83" s="43"/>
      <c r="FJ83" s="43"/>
      <c r="FK83" s="43"/>
      <c r="FL83" s="43"/>
      <c r="FM83" s="43"/>
      <c r="FN83" s="43"/>
      <c r="FO83" s="43"/>
      <c r="FP83" s="43"/>
      <c r="FQ83" s="43"/>
      <c r="FR83" s="43"/>
      <c r="FS83" s="43"/>
      <c r="FT83" s="43"/>
      <c r="FU83" s="43"/>
      <c r="FV83" s="43"/>
      <c r="FW83" s="43"/>
      <c r="FX83" s="43"/>
      <c r="FY83" s="43"/>
      <c r="FZ83" s="43"/>
      <c r="GA83" s="43"/>
      <c r="GB83" s="43"/>
      <c r="GC83" s="43"/>
      <c r="GD83" s="43"/>
      <c r="GE83" s="43"/>
      <c r="GF83" s="43"/>
      <c r="GG83" s="43"/>
      <c r="GH83" s="43"/>
      <c r="GI83" s="43"/>
      <c r="GJ83" s="43"/>
      <c r="GK83" s="43"/>
      <c r="GL83" s="43"/>
      <c r="GM83" s="43"/>
      <c r="GN83" s="43"/>
      <c r="GO83" s="43"/>
      <c r="GP83" s="43"/>
      <c r="GQ83" s="43"/>
      <c r="GR83" s="43"/>
      <c r="GS83" s="43"/>
      <c r="GT83" s="43"/>
      <c r="GU83" s="43"/>
      <c r="GV83" s="43"/>
      <c r="GW83" s="43"/>
      <c r="GX83" s="43"/>
      <c r="GY83" s="43"/>
      <c r="GZ83" s="43"/>
      <c r="HA83" s="43"/>
      <c r="HB83" s="43"/>
      <c r="HC83" s="43"/>
      <c r="HD83" s="43"/>
      <c r="HE83" s="43"/>
      <c r="HF83" s="43"/>
      <c r="HG83" s="43"/>
      <c r="HH83" s="43"/>
      <c r="HI83" s="43"/>
      <c r="HJ83" s="43"/>
      <c r="HK83" s="43"/>
      <c r="HL83" s="43"/>
      <c r="HM83" s="43"/>
      <c r="HN83" s="43"/>
      <c r="HO83" s="43"/>
      <c r="HP83" s="43"/>
      <c r="HQ83" s="43"/>
      <c r="HR83" s="43"/>
      <c r="HS83" s="43"/>
      <c r="HT83" s="43"/>
      <c r="HU83" s="43"/>
      <c r="HV83" s="43"/>
      <c r="HW83" s="43"/>
      <c r="HX83" s="43"/>
      <c r="HY83" s="43"/>
      <c r="HZ83" s="43"/>
      <c r="IA83" s="43"/>
      <c r="IB83" s="43"/>
      <c r="IC83" s="43"/>
      <c r="ID83" s="43"/>
      <c r="IE83" s="43"/>
      <c r="IF83" s="43"/>
      <c r="IG83" s="43"/>
      <c r="IH83" s="43"/>
      <c r="II83" s="43"/>
      <c r="IJ83" s="43"/>
      <c r="IK83" s="43"/>
      <c r="IL83" s="43"/>
      <c r="IM83" s="43"/>
      <c r="IN83" s="43"/>
      <c r="IO83" s="43"/>
      <c r="IP83" s="43"/>
      <c r="IQ83" s="43"/>
      <c r="IR83" s="43"/>
      <c r="IS83" s="43"/>
      <c r="IT83" s="43"/>
      <c r="IU83" s="43"/>
      <c r="IV83" s="43"/>
    </row>
    <row r="84" spans="1:256" s="29" customFormat="1" x14ac:dyDescent="0.3">
      <c r="A84" s="33" t="s">
        <v>88</v>
      </c>
      <c r="B84" s="123" t="s">
        <v>89</v>
      </c>
      <c r="C84" s="43">
        <v>5553.8300000000008</v>
      </c>
      <c r="D84" s="43">
        <v>8416.3599999999988</v>
      </c>
      <c r="E84" s="43">
        <v>10560.199999999999</v>
      </c>
      <c r="F84" s="43">
        <v>12049.149999999998</v>
      </c>
      <c r="G84" s="43">
        <v>12608.56</v>
      </c>
      <c r="H84" s="43">
        <v>13827.97</v>
      </c>
      <c r="I84" s="43">
        <v>18227.839999999997</v>
      </c>
      <c r="J84" s="43">
        <f>SUM('X-Monthly'!CI84:CT84)</f>
        <v>22245.07</v>
      </c>
      <c r="K84" s="43">
        <f>SUM('X-Monthly'!CU84:DF84)</f>
        <v>23349.42</v>
      </c>
      <c r="L84" s="43">
        <f>SUM('X-Monthly'!DG84:DR84)</f>
        <v>27418.45</v>
      </c>
      <c r="M84" s="43">
        <f>SUM('X-Monthly'!DS84:ED84)</f>
        <v>29591.94</v>
      </c>
      <c r="N84" s="43">
        <v>31237.48</v>
      </c>
      <c r="O84" s="43">
        <v>39720.679999999993</v>
      </c>
      <c r="P84" s="43">
        <v>34008.44</v>
      </c>
      <c r="Q84" s="43">
        <v>27117.750000000004</v>
      </c>
      <c r="R84" s="43">
        <v>41115.22</v>
      </c>
      <c r="S84" s="43">
        <v>44429.58</v>
      </c>
      <c r="T84" s="43">
        <v>48269.43</v>
      </c>
      <c r="U84" s="43">
        <v>52087.199999999997</v>
      </c>
      <c r="V84" s="43">
        <v>51740.241999999998</v>
      </c>
      <c r="W84" s="43">
        <v>54402.394999999997</v>
      </c>
      <c r="X84" s="43">
        <v>63455.729999999996</v>
      </c>
      <c r="Y84" s="43">
        <v>58991.159999999996</v>
      </c>
      <c r="Z84" s="43">
        <v>53499.877</v>
      </c>
      <c r="AA84" s="43">
        <v>54988.99700000001</v>
      </c>
      <c r="AB84" s="43">
        <v>54633.849000000002</v>
      </c>
      <c r="AC84" s="43">
        <v>67581.543999999994</v>
      </c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  <c r="BF84" s="43"/>
      <c r="BG84" s="43"/>
      <c r="BH84" s="43"/>
      <c r="BI84" s="43"/>
      <c r="BJ84" s="43"/>
      <c r="BK84" s="43"/>
      <c r="BL84" s="43"/>
      <c r="BM84" s="43"/>
      <c r="BN84" s="43"/>
      <c r="BO84" s="43"/>
      <c r="BP84" s="43"/>
      <c r="BQ84" s="43"/>
      <c r="BR84" s="43"/>
      <c r="BS84" s="43"/>
      <c r="BT84" s="43"/>
      <c r="BU84" s="43"/>
      <c r="BV84" s="43"/>
      <c r="BW84" s="43"/>
      <c r="BX84" s="43"/>
      <c r="BY84" s="43"/>
      <c r="BZ84" s="43"/>
      <c r="CA84" s="43"/>
      <c r="CB84" s="43"/>
      <c r="CC84" s="43"/>
      <c r="CD84" s="43"/>
      <c r="CE84" s="43"/>
      <c r="CF84" s="43"/>
      <c r="CG84" s="43"/>
      <c r="CH84" s="43"/>
      <c r="CI84" s="43"/>
      <c r="CJ84" s="43"/>
      <c r="CK84" s="43"/>
      <c r="CL84" s="43"/>
      <c r="CM84" s="43"/>
      <c r="CN84" s="43"/>
      <c r="CO84" s="43"/>
      <c r="CP84" s="43"/>
      <c r="CQ84" s="43"/>
      <c r="CR84" s="43"/>
      <c r="CS84" s="43"/>
      <c r="CT84" s="43"/>
      <c r="CU84" s="43"/>
      <c r="CV84" s="43"/>
      <c r="CW84" s="43"/>
      <c r="CX84" s="43"/>
      <c r="CY84" s="43"/>
      <c r="CZ84" s="43"/>
      <c r="DA84" s="43"/>
      <c r="DB84" s="43"/>
      <c r="DC84" s="43"/>
      <c r="DD84" s="43"/>
      <c r="DE84" s="43"/>
      <c r="DF84" s="43"/>
      <c r="DG84" s="43"/>
      <c r="DH84" s="43"/>
      <c r="DI84" s="43"/>
      <c r="DJ84" s="43"/>
      <c r="DK84" s="43"/>
      <c r="DL84" s="43"/>
      <c r="DM84" s="43"/>
      <c r="DN84" s="43"/>
      <c r="DO84" s="43"/>
      <c r="DP84" s="43"/>
      <c r="DQ84" s="43"/>
      <c r="DR84" s="43"/>
      <c r="DS84" s="43"/>
      <c r="DT84" s="43"/>
      <c r="DU84" s="43"/>
      <c r="DV84" s="43"/>
      <c r="DW84" s="43"/>
      <c r="DX84" s="43"/>
      <c r="DY84" s="43"/>
      <c r="DZ84" s="43"/>
      <c r="EA84" s="43"/>
      <c r="EB84" s="43"/>
      <c r="EC84" s="43"/>
      <c r="ED84" s="43"/>
      <c r="EE84" s="43"/>
      <c r="EF84" s="43"/>
      <c r="EG84" s="43"/>
      <c r="EH84" s="43"/>
      <c r="EI84" s="43"/>
      <c r="EJ84" s="43"/>
      <c r="EK84" s="43"/>
      <c r="EL84" s="43"/>
      <c r="EM84" s="43"/>
      <c r="EN84" s="43"/>
      <c r="EO84" s="43"/>
      <c r="EP84" s="43"/>
      <c r="EQ84" s="43"/>
      <c r="ER84" s="43"/>
      <c r="ES84" s="43"/>
      <c r="ET84" s="43"/>
      <c r="EU84" s="43"/>
      <c r="EV84" s="43"/>
      <c r="EW84" s="43"/>
      <c r="EX84" s="43"/>
      <c r="EY84" s="43"/>
      <c r="EZ84" s="43"/>
      <c r="FA84" s="43"/>
      <c r="FB84" s="43"/>
      <c r="FC84" s="43"/>
      <c r="FD84" s="43"/>
      <c r="FE84" s="43"/>
      <c r="FF84" s="43"/>
      <c r="FG84" s="43"/>
      <c r="FH84" s="43"/>
      <c r="FI84" s="43"/>
      <c r="FJ84" s="43"/>
      <c r="FK84" s="43"/>
      <c r="FL84" s="43"/>
      <c r="FM84" s="43"/>
      <c r="FN84" s="43"/>
      <c r="FO84" s="43"/>
      <c r="FP84" s="43"/>
      <c r="FQ84" s="43"/>
      <c r="FR84" s="43"/>
      <c r="FS84" s="43"/>
      <c r="FT84" s="43"/>
      <c r="FU84" s="43"/>
      <c r="FV84" s="43"/>
      <c r="FW84" s="43"/>
      <c r="FX84" s="43"/>
      <c r="FY84" s="43"/>
      <c r="FZ84" s="43"/>
      <c r="GA84" s="43"/>
      <c r="GB84" s="43"/>
      <c r="GC84" s="43"/>
      <c r="GD84" s="43"/>
      <c r="GE84" s="43"/>
      <c r="GF84" s="43"/>
      <c r="GG84" s="43"/>
      <c r="GH84" s="43"/>
      <c r="GI84" s="43"/>
      <c r="GJ84" s="43"/>
      <c r="GK84" s="43"/>
      <c r="GL84" s="43"/>
      <c r="GM84" s="43"/>
      <c r="GN84" s="43"/>
      <c r="GO84" s="43"/>
      <c r="GP84" s="43"/>
      <c r="GQ84" s="43"/>
      <c r="GR84" s="43"/>
      <c r="GS84" s="43"/>
      <c r="GT84" s="43"/>
      <c r="GU84" s="43"/>
      <c r="GV84" s="43"/>
      <c r="GW84" s="43"/>
      <c r="GX84" s="43"/>
      <c r="GY84" s="43"/>
      <c r="GZ84" s="43"/>
      <c r="HA84" s="43"/>
      <c r="HB84" s="43"/>
      <c r="HC84" s="43"/>
      <c r="HD84" s="43"/>
      <c r="HE84" s="43"/>
      <c r="HF84" s="43"/>
      <c r="HG84" s="43"/>
      <c r="HH84" s="43"/>
      <c r="HI84" s="43"/>
      <c r="HJ84" s="43"/>
      <c r="HK84" s="43"/>
      <c r="HL84" s="43"/>
      <c r="HM84" s="43"/>
      <c r="HN84" s="43"/>
      <c r="HO84" s="43"/>
      <c r="HP84" s="43"/>
      <c r="HQ84" s="43"/>
      <c r="HR84" s="43"/>
      <c r="HS84" s="43"/>
      <c r="HT84" s="43"/>
      <c r="HU84" s="43"/>
      <c r="HV84" s="43"/>
      <c r="HW84" s="43"/>
      <c r="HX84" s="43"/>
      <c r="HY84" s="43"/>
      <c r="HZ84" s="43"/>
      <c r="IA84" s="43"/>
      <c r="IB84" s="43"/>
      <c r="IC84" s="43"/>
      <c r="ID84" s="43"/>
      <c r="IE84" s="43"/>
      <c r="IF84" s="43"/>
      <c r="IG84" s="43"/>
      <c r="IH84" s="43"/>
      <c r="II84" s="43"/>
      <c r="IJ84" s="43"/>
      <c r="IK84" s="43"/>
      <c r="IL84" s="43"/>
      <c r="IM84" s="43"/>
      <c r="IN84" s="43"/>
      <c r="IO84" s="43"/>
      <c r="IP84" s="43"/>
      <c r="IQ84" s="43"/>
      <c r="IR84" s="43"/>
      <c r="IS84" s="43"/>
      <c r="IT84" s="43"/>
      <c r="IU84" s="43"/>
      <c r="IV84" s="43"/>
    </row>
    <row r="85" spans="1:256" s="29" customFormat="1" x14ac:dyDescent="0.3">
      <c r="A85" s="33" t="s">
        <v>90</v>
      </c>
      <c r="B85" s="123" t="s">
        <v>89</v>
      </c>
      <c r="C85" s="43">
        <v>1643.9699999999998</v>
      </c>
      <c r="D85" s="43">
        <v>3740.77</v>
      </c>
      <c r="E85" s="43">
        <v>3100.3799999999997</v>
      </c>
      <c r="F85" s="43">
        <v>3937.9199999999996</v>
      </c>
      <c r="G85" s="43">
        <v>4331.63</v>
      </c>
      <c r="H85" s="43">
        <v>4297.84</v>
      </c>
      <c r="I85" s="43">
        <v>8261.5339999999997</v>
      </c>
      <c r="J85" s="43">
        <f>SUM('X-Monthly'!CI85:CT85)</f>
        <v>10593.380000000001</v>
      </c>
      <c r="K85" s="43">
        <f>SUM('X-Monthly'!CU85:DF85)</f>
        <v>10309.25</v>
      </c>
      <c r="L85" s="43">
        <f>SUM('X-Monthly'!DG85:DR85)</f>
        <v>12766.99</v>
      </c>
      <c r="M85" s="43">
        <f>SUM('X-Monthly'!DS85:ED85)</f>
        <v>17607.100000000002</v>
      </c>
      <c r="N85" s="43">
        <v>23477.579999999998</v>
      </c>
      <c r="O85" s="43">
        <v>23913.609999999997</v>
      </c>
      <c r="P85" s="43">
        <v>28632.159999999996</v>
      </c>
      <c r="Q85" s="43">
        <v>19225.3</v>
      </c>
      <c r="R85" s="43">
        <v>19609.739999999998</v>
      </c>
      <c r="S85" s="43">
        <v>99382.739999999991</v>
      </c>
      <c r="T85" s="43">
        <v>45439.5</v>
      </c>
      <c r="U85" s="43">
        <v>99428.093000000008</v>
      </c>
      <c r="V85" s="43">
        <v>86014.29065000001</v>
      </c>
      <c r="W85" s="43">
        <v>19751.967910829997</v>
      </c>
      <c r="X85" s="43">
        <v>21207.2356</v>
      </c>
      <c r="Y85" s="43">
        <v>30177.424499999997</v>
      </c>
      <c r="Z85" s="43">
        <v>24792.118000000002</v>
      </c>
      <c r="AA85" s="43">
        <v>41465.602000000006</v>
      </c>
      <c r="AB85" s="43">
        <v>26305.237499999999</v>
      </c>
      <c r="AC85" s="43">
        <v>20060.428</v>
      </c>
      <c r="AD85" s="43"/>
      <c r="AE85" s="43"/>
      <c r="AF85" s="43"/>
      <c r="AG85" s="43"/>
      <c r="AH85" s="43"/>
      <c r="AI85" s="43"/>
      <c r="AJ85" s="43"/>
      <c r="AK85" s="43"/>
      <c r="AL85" s="43"/>
      <c r="AM85" s="43"/>
      <c r="AN85" s="43"/>
      <c r="AO85" s="43"/>
      <c r="AP85" s="43"/>
      <c r="AQ85" s="43"/>
      <c r="AR85" s="43"/>
      <c r="AS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  <c r="BF85" s="43"/>
      <c r="BG85" s="43"/>
      <c r="BH85" s="43"/>
      <c r="BI85" s="43"/>
      <c r="BJ85" s="43"/>
      <c r="BK85" s="43"/>
      <c r="BL85" s="43"/>
      <c r="BM85" s="43"/>
      <c r="BN85" s="43"/>
      <c r="BO85" s="43"/>
      <c r="BP85" s="43"/>
      <c r="BQ85" s="43"/>
      <c r="BR85" s="43"/>
      <c r="BS85" s="43"/>
      <c r="BT85" s="43"/>
      <c r="BU85" s="43"/>
      <c r="BV85" s="43"/>
      <c r="BW85" s="43"/>
      <c r="BX85" s="43"/>
      <c r="BY85" s="43"/>
      <c r="BZ85" s="43"/>
      <c r="CA85" s="43"/>
      <c r="CB85" s="43"/>
      <c r="CC85" s="43"/>
      <c r="CD85" s="43"/>
      <c r="CE85" s="43"/>
      <c r="CF85" s="43"/>
      <c r="CG85" s="43"/>
      <c r="CH85" s="43"/>
      <c r="CI85" s="43"/>
      <c r="CJ85" s="43"/>
      <c r="CK85" s="43"/>
      <c r="CL85" s="43"/>
      <c r="CM85" s="43"/>
      <c r="CN85" s="43"/>
      <c r="CO85" s="43"/>
      <c r="CP85" s="43"/>
      <c r="CQ85" s="43"/>
      <c r="CR85" s="43"/>
      <c r="CS85" s="43"/>
      <c r="CT85" s="43"/>
      <c r="CU85" s="43"/>
      <c r="CV85" s="43"/>
      <c r="CW85" s="43"/>
      <c r="CX85" s="43"/>
      <c r="CY85" s="43"/>
      <c r="CZ85" s="43"/>
      <c r="DA85" s="43"/>
      <c r="DB85" s="43"/>
      <c r="DC85" s="43"/>
      <c r="DD85" s="43"/>
      <c r="DE85" s="43"/>
      <c r="DF85" s="43"/>
      <c r="DG85" s="43"/>
      <c r="DH85" s="43"/>
      <c r="DI85" s="43"/>
      <c r="DJ85" s="43"/>
      <c r="DK85" s="43"/>
      <c r="DL85" s="43"/>
      <c r="DM85" s="43"/>
      <c r="DN85" s="43"/>
      <c r="DO85" s="43"/>
      <c r="DP85" s="43"/>
      <c r="DQ85" s="43"/>
      <c r="DR85" s="43"/>
      <c r="DS85" s="43"/>
      <c r="DT85" s="43"/>
      <c r="DU85" s="43"/>
      <c r="DV85" s="43"/>
      <c r="DW85" s="43"/>
      <c r="DX85" s="43"/>
      <c r="DY85" s="43"/>
      <c r="DZ85" s="43"/>
      <c r="EA85" s="43"/>
      <c r="EB85" s="43"/>
      <c r="EC85" s="43"/>
      <c r="ED85" s="43"/>
      <c r="EE85" s="43"/>
      <c r="EF85" s="43"/>
      <c r="EG85" s="43"/>
      <c r="EH85" s="43"/>
      <c r="EI85" s="43"/>
      <c r="EJ85" s="43"/>
      <c r="EK85" s="43"/>
      <c r="EL85" s="43"/>
      <c r="EM85" s="43"/>
      <c r="EN85" s="43"/>
      <c r="EO85" s="43"/>
      <c r="EP85" s="43"/>
      <c r="EQ85" s="43"/>
      <c r="ER85" s="43"/>
      <c r="ES85" s="43"/>
      <c r="ET85" s="43"/>
      <c r="EU85" s="43"/>
      <c r="EV85" s="43"/>
      <c r="EW85" s="43"/>
      <c r="EX85" s="43"/>
      <c r="EY85" s="43"/>
      <c r="EZ85" s="43"/>
      <c r="FA85" s="43"/>
      <c r="FB85" s="43"/>
      <c r="FC85" s="43"/>
      <c r="FD85" s="43"/>
      <c r="FE85" s="43"/>
      <c r="FF85" s="43"/>
      <c r="FG85" s="43"/>
      <c r="FH85" s="43"/>
      <c r="FI85" s="43"/>
      <c r="FJ85" s="43"/>
      <c r="FK85" s="43"/>
      <c r="FL85" s="43"/>
      <c r="FM85" s="43"/>
      <c r="FN85" s="43"/>
      <c r="FO85" s="43"/>
      <c r="FP85" s="43"/>
      <c r="FQ85" s="43"/>
      <c r="FR85" s="43"/>
      <c r="FS85" s="43"/>
      <c r="FT85" s="43"/>
      <c r="FU85" s="43"/>
      <c r="FV85" s="43"/>
      <c r="FW85" s="43"/>
      <c r="FX85" s="43"/>
      <c r="FY85" s="43"/>
      <c r="FZ85" s="43"/>
      <c r="GA85" s="43"/>
      <c r="GB85" s="43"/>
      <c r="GC85" s="43"/>
      <c r="GD85" s="43"/>
      <c r="GE85" s="43"/>
      <c r="GF85" s="43"/>
      <c r="GG85" s="43"/>
      <c r="GH85" s="43"/>
      <c r="GI85" s="43"/>
      <c r="GJ85" s="43"/>
      <c r="GK85" s="43"/>
      <c r="GL85" s="43"/>
      <c r="GM85" s="43"/>
      <c r="GN85" s="43"/>
      <c r="GO85" s="43"/>
      <c r="GP85" s="43"/>
      <c r="GQ85" s="43"/>
      <c r="GR85" s="43"/>
      <c r="GS85" s="43"/>
      <c r="GT85" s="43"/>
      <c r="GU85" s="43"/>
      <c r="GV85" s="43"/>
      <c r="GW85" s="43"/>
      <c r="GX85" s="43"/>
      <c r="GY85" s="43"/>
      <c r="GZ85" s="43"/>
      <c r="HA85" s="43"/>
      <c r="HB85" s="43"/>
      <c r="HC85" s="43"/>
      <c r="HD85" s="43"/>
      <c r="HE85" s="43"/>
      <c r="HF85" s="43"/>
      <c r="HG85" s="43"/>
      <c r="HH85" s="43"/>
      <c r="HI85" s="43"/>
      <c r="HJ85" s="43"/>
      <c r="HK85" s="43"/>
      <c r="HL85" s="43"/>
      <c r="HM85" s="43"/>
      <c r="HN85" s="43"/>
      <c r="HO85" s="43"/>
      <c r="HP85" s="43"/>
      <c r="HQ85" s="43"/>
      <c r="HR85" s="43"/>
      <c r="HS85" s="43"/>
      <c r="HT85" s="43"/>
      <c r="HU85" s="43"/>
      <c r="HV85" s="43"/>
      <c r="HW85" s="43"/>
      <c r="HX85" s="43"/>
      <c r="HY85" s="43"/>
      <c r="HZ85" s="43"/>
      <c r="IA85" s="43"/>
      <c r="IB85" s="43"/>
      <c r="IC85" s="43"/>
      <c r="ID85" s="43"/>
      <c r="IE85" s="43"/>
      <c r="IF85" s="43"/>
      <c r="IG85" s="43"/>
      <c r="IH85" s="43"/>
      <c r="II85" s="43"/>
      <c r="IJ85" s="43"/>
      <c r="IK85" s="43"/>
      <c r="IL85" s="43"/>
      <c r="IM85" s="43"/>
      <c r="IN85" s="43"/>
      <c r="IO85" s="43"/>
      <c r="IP85" s="43"/>
      <c r="IQ85" s="43"/>
      <c r="IR85" s="43"/>
      <c r="IS85" s="43"/>
      <c r="IT85" s="43"/>
      <c r="IU85" s="43"/>
      <c r="IV85" s="43"/>
    </row>
    <row r="86" spans="1:256" s="29" customFormat="1" x14ac:dyDescent="0.3">
      <c r="A86" s="33" t="s">
        <v>91</v>
      </c>
      <c r="B86" s="123" t="s">
        <v>89</v>
      </c>
      <c r="C86" s="43">
        <v>13804.55</v>
      </c>
      <c r="D86" s="43">
        <v>28687.370000000003</v>
      </c>
      <c r="E86" s="43">
        <v>37373.19</v>
      </c>
      <c r="F86" s="43">
        <v>30951.29</v>
      </c>
      <c r="G86" s="43">
        <v>58851.83</v>
      </c>
      <c r="H86" s="43">
        <v>14821.950000000003</v>
      </c>
      <c r="I86" s="43">
        <v>4494.485999999999</v>
      </c>
      <c r="J86" s="43">
        <f>SUM('X-Monthly'!CI86:CT86)</f>
        <v>7331.7899999999991</v>
      </c>
      <c r="K86" s="43">
        <f>SUM('X-Monthly'!CU86:DF86)</f>
        <v>12168.170000000002</v>
      </c>
      <c r="L86" s="43">
        <f>SUM('X-Monthly'!DG86:DR86)</f>
        <v>14424.119999999999</v>
      </c>
      <c r="M86" s="43">
        <f>SUM('X-Monthly'!DS86:ED86)</f>
        <v>4105.97</v>
      </c>
      <c r="N86" s="43">
        <v>11529.170000000002</v>
      </c>
      <c r="O86" s="43">
        <v>16369.550000000001</v>
      </c>
      <c r="P86" s="43">
        <v>14170.57</v>
      </c>
      <c r="Q86" s="43">
        <v>30698.71</v>
      </c>
      <c r="R86" s="43">
        <v>15538.879999999997</v>
      </c>
      <c r="S86" s="43">
        <v>20767.090000000004</v>
      </c>
      <c r="T86" s="43">
        <v>40464.730000000003</v>
      </c>
      <c r="U86" s="43">
        <v>27050.91</v>
      </c>
      <c r="V86" s="43">
        <v>24552.315000000002</v>
      </c>
      <c r="W86" s="43">
        <v>25808.12</v>
      </c>
      <c r="X86" s="43">
        <v>36028.93</v>
      </c>
      <c r="Y86" s="43">
        <v>35279.43</v>
      </c>
      <c r="Z86" s="43">
        <v>92674.856</v>
      </c>
      <c r="AA86" s="43">
        <v>144925.07800000001</v>
      </c>
      <c r="AB86" s="43">
        <v>158400.10200000001</v>
      </c>
      <c r="AC86" s="43">
        <v>339394.152</v>
      </c>
      <c r="AD86" s="43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3"/>
      <c r="AP86" s="43"/>
      <c r="AQ86" s="43"/>
      <c r="AR86" s="43"/>
      <c r="AS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  <c r="BF86" s="43"/>
      <c r="BG86" s="43"/>
      <c r="BH86" s="43"/>
      <c r="BI86" s="43"/>
      <c r="BJ86" s="43"/>
      <c r="BK86" s="43"/>
      <c r="BL86" s="43"/>
      <c r="BM86" s="43"/>
      <c r="BN86" s="43"/>
      <c r="BO86" s="43"/>
      <c r="BP86" s="43"/>
      <c r="BQ86" s="43"/>
      <c r="BR86" s="43"/>
      <c r="BS86" s="43"/>
      <c r="BT86" s="43"/>
      <c r="BU86" s="43"/>
      <c r="BV86" s="43"/>
      <c r="BW86" s="43"/>
      <c r="BX86" s="43"/>
      <c r="BY86" s="43"/>
      <c r="BZ86" s="43"/>
      <c r="CA86" s="43"/>
      <c r="CB86" s="43"/>
      <c r="CC86" s="43"/>
      <c r="CD86" s="43"/>
      <c r="CE86" s="43"/>
      <c r="CF86" s="43"/>
      <c r="CG86" s="43"/>
      <c r="CH86" s="43"/>
      <c r="CI86" s="43"/>
      <c r="CJ86" s="43"/>
      <c r="CK86" s="43"/>
      <c r="CL86" s="43"/>
      <c r="CM86" s="43"/>
      <c r="CN86" s="43"/>
      <c r="CO86" s="43"/>
      <c r="CP86" s="43"/>
      <c r="CQ86" s="43"/>
      <c r="CR86" s="43"/>
      <c r="CS86" s="43"/>
      <c r="CT86" s="43"/>
      <c r="CU86" s="43"/>
      <c r="CV86" s="43"/>
      <c r="CW86" s="43"/>
      <c r="CX86" s="43"/>
      <c r="CY86" s="43"/>
      <c r="CZ86" s="43"/>
      <c r="DA86" s="43"/>
      <c r="DB86" s="43"/>
      <c r="DC86" s="43"/>
      <c r="DD86" s="43"/>
      <c r="DE86" s="43"/>
      <c r="DF86" s="43"/>
      <c r="DG86" s="43"/>
      <c r="DH86" s="43"/>
      <c r="DI86" s="43"/>
      <c r="DJ86" s="43"/>
      <c r="DK86" s="43"/>
      <c r="DL86" s="43"/>
      <c r="DM86" s="43"/>
      <c r="DN86" s="43"/>
      <c r="DO86" s="43"/>
      <c r="DP86" s="43"/>
      <c r="DQ86" s="43"/>
      <c r="DR86" s="43"/>
      <c r="DS86" s="43"/>
      <c r="DT86" s="43"/>
      <c r="DU86" s="43"/>
      <c r="DV86" s="43"/>
      <c r="DW86" s="43"/>
      <c r="DX86" s="43"/>
      <c r="DY86" s="43"/>
      <c r="DZ86" s="43"/>
      <c r="EA86" s="43"/>
      <c r="EB86" s="43"/>
      <c r="EC86" s="43"/>
      <c r="ED86" s="43"/>
      <c r="EE86" s="43"/>
      <c r="EF86" s="43"/>
      <c r="EG86" s="43"/>
      <c r="EH86" s="43"/>
      <c r="EI86" s="43"/>
      <c r="EJ86" s="43"/>
      <c r="EK86" s="43"/>
      <c r="EL86" s="43"/>
      <c r="EM86" s="43"/>
      <c r="EN86" s="43"/>
      <c r="EO86" s="43"/>
      <c r="EP86" s="43"/>
      <c r="EQ86" s="43"/>
      <c r="ER86" s="43"/>
      <c r="ES86" s="43"/>
      <c r="ET86" s="43"/>
      <c r="EU86" s="43"/>
      <c r="EV86" s="43"/>
      <c r="EW86" s="43"/>
      <c r="EX86" s="43"/>
      <c r="EY86" s="43"/>
      <c r="EZ86" s="43"/>
      <c r="FA86" s="43"/>
      <c r="FB86" s="43"/>
      <c r="FC86" s="43"/>
      <c r="FD86" s="43"/>
      <c r="FE86" s="43"/>
      <c r="FF86" s="43"/>
      <c r="FG86" s="43"/>
      <c r="FH86" s="43"/>
      <c r="FI86" s="43"/>
      <c r="FJ86" s="43"/>
      <c r="FK86" s="43"/>
      <c r="FL86" s="43"/>
      <c r="FM86" s="43"/>
      <c r="FN86" s="43"/>
      <c r="FO86" s="43"/>
      <c r="FP86" s="43"/>
      <c r="FQ86" s="43"/>
      <c r="FR86" s="43"/>
      <c r="FS86" s="43"/>
      <c r="FT86" s="43"/>
      <c r="FU86" s="43"/>
      <c r="FV86" s="43"/>
      <c r="FW86" s="43"/>
      <c r="FX86" s="43"/>
      <c r="FY86" s="43"/>
      <c r="FZ86" s="43"/>
      <c r="GA86" s="43"/>
      <c r="GB86" s="43"/>
      <c r="GC86" s="43"/>
      <c r="GD86" s="43"/>
      <c r="GE86" s="43"/>
      <c r="GF86" s="43"/>
      <c r="GG86" s="43"/>
      <c r="GH86" s="43"/>
      <c r="GI86" s="43"/>
      <c r="GJ86" s="43"/>
      <c r="GK86" s="43"/>
      <c r="GL86" s="43"/>
      <c r="GM86" s="43"/>
      <c r="GN86" s="43"/>
      <c r="GO86" s="43"/>
      <c r="GP86" s="43"/>
      <c r="GQ86" s="43"/>
      <c r="GR86" s="43"/>
      <c r="GS86" s="43"/>
      <c r="GT86" s="43"/>
      <c r="GU86" s="43"/>
      <c r="GV86" s="43"/>
      <c r="GW86" s="43"/>
      <c r="GX86" s="43"/>
      <c r="GY86" s="43"/>
      <c r="GZ86" s="43"/>
      <c r="HA86" s="43"/>
      <c r="HB86" s="43"/>
      <c r="HC86" s="43"/>
      <c r="HD86" s="43"/>
      <c r="HE86" s="43"/>
      <c r="HF86" s="43"/>
      <c r="HG86" s="43"/>
      <c r="HH86" s="43"/>
      <c r="HI86" s="43"/>
      <c r="HJ86" s="43"/>
      <c r="HK86" s="43"/>
      <c r="HL86" s="43"/>
      <c r="HM86" s="43"/>
      <c r="HN86" s="43"/>
      <c r="HO86" s="43"/>
      <c r="HP86" s="43"/>
      <c r="HQ86" s="43"/>
      <c r="HR86" s="43"/>
      <c r="HS86" s="43"/>
      <c r="HT86" s="43"/>
      <c r="HU86" s="43"/>
      <c r="HV86" s="43"/>
      <c r="HW86" s="43"/>
      <c r="HX86" s="43"/>
      <c r="HY86" s="43"/>
      <c r="HZ86" s="43"/>
      <c r="IA86" s="43"/>
      <c r="IB86" s="43"/>
      <c r="IC86" s="43"/>
      <c r="ID86" s="43"/>
      <c r="IE86" s="43"/>
      <c r="IF86" s="43"/>
      <c r="IG86" s="43"/>
      <c r="IH86" s="43"/>
      <c r="II86" s="43"/>
      <c r="IJ86" s="43"/>
      <c r="IK86" s="43"/>
      <c r="IL86" s="43"/>
      <c r="IM86" s="43"/>
      <c r="IN86" s="43"/>
      <c r="IO86" s="43"/>
      <c r="IP86" s="43"/>
      <c r="IQ86" s="43"/>
      <c r="IR86" s="43"/>
      <c r="IS86" s="43"/>
      <c r="IT86" s="43"/>
      <c r="IU86" s="43"/>
      <c r="IV86" s="43"/>
    </row>
    <row r="87" spans="1:256" s="29" customFormat="1" x14ac:dyDescent="0.3">
      <c r="A87" s="33" t="s">
        <v>11</v>
      </c>
      <c r="B87" s="123" t="s">
        <v>89</v>
      </c>
      <c r="C87" s="43">
        <v>15260.720000000001</v>
      </c>
      <c r="D87" s="43">
        <v>10210.719999999999</v>
      </c>
      <c r="E87" s="43">
        <v>4638.8399999999992</v>
      </c>
      <c r="F87" s="43">
        <v>9715.3599999999988</v>
      </c>
      <c r="G87" s="43">
        <v>14818.470000000001</v>
      </c>
      <c r="H87" s="43">
        <v>1661.3700000000001</v>
      </c>
      <c r="I87" s="43">
        <v>62.79</v>
      </c>
      <c r="J87" s="43">
        <f>SUM('X-Monthly'!CI87:CT87)</f>
        <v>2282.69</v>
      </c>
      <c r="K87" s="43">
        <f>SUM('X-Monthly'!CU87:DF87)</f>
        <v>1049.8599999999999</v>
      </c>
      <c r="L87" s="43">
        <f>SUM('X-Monthly'!DG87:DR87)</f>
        <v>1490.29</v>
      </c>
      <c r="M87" s="43">
        <f>SUM('X-Monthly'!DS87:ED87)</f>
        <v>1036.82</v>
      </c>
      <c r="N87" s="43">
        <v>4926.5999999999995</v>
      </c>
      <c r="O87" s="43">
        <v>4799.13</v>
      </c>
      <c r="P87" s="43">
        <v>4712.8</v>
      </c>
      <c r="Q87" s="43">
        <v>8405.82</v>
      </c>
      <c r="R87" s="43">
        <v>5024.05</v>
      </c>
      <c r="S87" s="43">
        <v>10746.75</v>
      </c>
      <c r="T87" s="43">
        <v>12158.970000000001</v>
      </c>
      <c r="U87" s="43">
        <v>7575.1580845387198</v>
      </c>
      <c r="V87" s="43">
        <v>15393.86</v>
      </c>
      <c r="W87" s="43">
        <v>11511.501</v>
      </c>
      <c r="X87" s="43">
        <v>17921.875</v>
      </c>
      <c r="Y87" s="43">
        <v>9027.0700000000015</v>
      </c>
      <c r="Z87" s="43">
        <v>38967.350999999995</v>
      </c>
      <c r="AA87" s="43">
        <v>29079.600000000002</v>
      </c>
      <c r="AB87" s="43">
        <v>16438.190999999999</v>
      </c>
      <c r="AC87" s="43">
        <v>17966.096000000001</v>
      </c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43"/>
      <c r="BH87" s="43"/>
      <c r="BI87" s="43"/>
      <c r="BJ87" s="43"/>
      <c r="BK87" s="43"/>
      <c r="BL87" s="43"/>
      <c r="BM87" s="43"/>
      <c r="BN87" s="43"/>
      <c r="BO87" s="43"/>
      <c r="BP87" s="43"/>
      <c r="BQ87" s="43"/>
      <c r="BR87" s="43"/>
      <c r="BS87" s="43"/>
      <c r="BT87" s="43"/>
      <c r="BU87" s="43"/>
      <c r="BV87" s="43"/>
      <c r="BW87" s="43"/>
      <c r="BX87" s="43"/>
      <c r="BY87" s="43"/>
      <c r="BZ87" s="43"/>
      <c r="CA87" s="43"/>
      <c r="CB87" s="43"/>
      <c r="CC87" s="43"/>
      <c r="CD87" s="43"/>
      <c r="CE87" s="43"/>
      <c r="CF87" s="43"/>
      <c r="CG87" s="43"/>
      <c r="CH87" s="43"/>
      <c r="CI87" s="43"/>
      <c r="CJ87" s="43"/>
      <c r="CK87" s="43"/>
      <c r="CL87" s="43"/>
      <c r="CM87" s="43"/>
      <c r="CN87" s="43"/>
      <c r="CO87" s="43"/>
      <c r="CP87" s="43"/>
      <c r="CQ87" s="43"/>
      <c r="CR87" s="43"/>
      <c r="CS87" s="43"/>
      <c r="CT87" s="43"/>
      <c r="CU87" s="43"/>
      <c r="CV87" s="43"/>
      <c r="CW87" s="43"/>
      <c r="CX87" s="43"/>
      <c r="CY87" s="43"/>
      <c r="CZ87" s="43"/>
      <c r="DA87" s="43"/>
      <c r="DB87" s="43"/>
      <c r="DC87" s="43"/>
      <c r="DD87" s="43"/>
      <c r="DE87" s="43"/>
      <c r="DF87" s="43"/>
      <c r="DG87" s="43"/>
      <c r="DH87" s="43"/>
      <c r="DI87" s="43"/>
      <c r="DJ87" s="43"/>
      <c r="DK87" s="43"/>
      <c r="DL87" s="43"/>
      <c r="DM87" s="43"/>
      <c r="DN87" s="43"/>
      <c r="DO87" s="43"/>
      <c r="DP87" s="43"/>
      <c r="DQ87" s="43"/>
      <c r="DR87" s="43"/>
      <c r="DS87" s="43"/>
      <c r="DT87" s="43"/>
      <c r="DU87" s="43"/>
      <c r="DV87" s="43"/>
      <c r="DW87" s="43"/>
      <c r="DX87" s="43"/>
      <c r="DY87" s="43"/>
      <c r="DZ87" s="43"/>
      <c r="EA87" s="43"/>
      <c r="EB87" s="43"/>
      <c r="EC87" s="43"/>
      <c r="ED87" s="43"/>
      <c r="EE87" s="43"/>
      <c r="EF87" s="43"/>
      <c r="EG87" s="43"/>
      <c r="EH87" s="43"/>
      <c r="EI87" s="43"/>
      <c r="EJ87" s="43"/>
      <c r="EK87" s="43"/>
      <c r="EL87" s="43"/>
      <c r="EM87" s="43"/>
      <c r="EN87" s="43"/>
      <c r="EO87" s="43"/>
      <c r="EP87" s="43"/>
      <c r="EQ87" s="43"/>
      <c r="ER87" s="43"/>
      <c r="ES87" s="43"/>
      <c r="ET87" s="43"/>
      <c r="EU87" s="43"/>
      <c r="EV87" s="43"/>
      <c r="EW87" s="43"/>
      <c r="EX87" s="43"/>
      <c r="EY87" s="43"/>
      <c r="EZ87" s="43"/>
      <c r="FA87" s="43"/>
      <c r="FB87" s="43"/>
      <c r="FC87" s="43"/>
      <c r="FD87" s="43"/>
      <c r="FE87" s="43"/>
      <c r="FF87" s="43"/>
      <c r="FG87" s="43"/>
      <c r="FH87" s="43"/>
      <c r="FI87" s="43"/>
      <c r="FJ87" s="43"/>
      <c r="FK87" s="43"/>
      <c r="FL87" s="43"/>
      <c r="FM87" s="43"/>
      <c r="FN87" s="43"/>
      <c r="FO87" s="43"/>
      <c r="FP87" s="43"/>
      <c r="FQ87" s="43"/>
      <c r="FR87" s="43"/>
      <c r="FS87" s="43"/>
      <c r="FT87" s="43"/>
      <c r="FU87" s="43"/>
      <c r="FV87" s="43"/>
      <c r="FW87" s="43"/>
      <c r="FX87" s="43"/>
      <c r="FY87" s="43"/>
      <c r="FZ87" s="43"/>
      <c r="GA87" s="43"/>
      <c r="GB87" s="43"/>
      <c r="GC87" s="43"/>
      <c r="GD87" s="43"/>
      <c r="GE87" s="43"/>
      <c r="GF87" s="43"/>
      <c r="GG87" s="43"/>
      <c r="GH87" s="43"/>
      <c r="GI87" s="43"/>
      <c r="GJ87" s="43"/>
      <c r="GK87" s="43"/>
      <c r="GL87" s="43"/>
      <c r="GM87" s="43"/>
      <c r="GN87" s="43"/>
      <c r="GO87" s="43"/>
      <c r="GP87" s="43"/>
      <c r="GQ87" s="43"/>
      <c r="GR87" s="43"/>
      <c r="GS87" s="43"/>
      <c r="GT87" s="43"/>
      <c r="GU87" s="43"/>
      <c r="GV87" s="43"/>
      <c r="GW87" s="43"/>
      <c r="GX87" s="43"/>
      <c r="GY87" s="43"/>
      <c r="GZ87" s="43"/>
      <c r="HA87" s="43"/>
      <c r="HB87" s="43"/>
      <c r="HC87" s="43"/>
      <c r="HD87" s="43"/>
      <c r="HE87" s="43"/>
      <c r="HF87" s="43"/>
      <c r="HG87" s="43"/>
      <c r="HH87" s="43"/>
      <c r="HI87" s="43"/>
      <c r="HJ87" s="43"/>
      <c r="HK87" s="43"/>
      <c r="HL87" s="43"/>
      <c r="HM87" s="43"/>
      <c r="HN87" s="43"/>
      <c r="HO87" s="43"/>
      <c r="HP87" s="43"/>
      <c r="HQ87" s="43"/>
      <c r="HR87" s="43"/>
      <c r="HS87" s="43"/>
      <c r="HT87" s="43"/>
      <c r="HU87" s="43"/>
      <c r="HV87" s="43"/>
      <c r="HW87" s="43"/>
      <c r="HX87" s="43"/>
      <c r="HY87" s="43"/>
      <c r="HZ87" s="43"/>
      <c r="IA87" s="43"/>
      <c r="IB87" s="43"/>
      <c r="IC87" s="43"/>
      <c r="ID87" s="43"/>
      <c r="IE87" s="43"/>
      <c r="IF87" s="43"/>
      <c r="IG87" s="43"/>
      <c r="IH87" s="43"/>
      <c r="II87" s="43"/>
      <c r="IJ87" s="43"/>
      <c r="IK87" s="43"/>
      <c r="IL87" s="43"/>
      <c r="IM87" s="43"/>
      <c r="IN87" s="43"/>
      <c r="IO87" s="43"/>
      <c r="IP87" s="43"/>
      <c r="IQ87" s="43"/>
      <c r="IR87" s="43"/>
      <c r="IS87" s="43"/>
      <c r="IT87" s="43"/>
      <c r="IU87" s="43"/>
      <c r="IV87" s="43"/>
    </row>
    <row r="88" spans="1:256" s="29" customFormat="1" x14ac:dyDescent="0.3">
      <c r="A88" s="33" t="s">
        <v>92</v>
      </c>
      <c r="B88" s="123" t="s">
        <v>89</v>
      </c>
      <c r="C88" s="43">
        <v>1255.2</v>
      </c>
      <c r="D88" s="43">
        <v>758.4</v>
      </c>
      <c r="E88" s="43">
        <v>2556.4</v>
      </c>
      <c r="F88" s="43">
        <v>3367.8</v>
      </c>
      <c r="G88" s="43">
        <v>680.8</v>
      </c>
      <c r="H88" s="43">
        <v>146.07999999999998</v>
      </c>
      <c r="I88" s="43">
        <v>46.5</v>
      </c>
      <c r="J88" s="43">
        <f>SUM('X-Monthly'!CI88:CT88)</f>
        <v>38.35</v>
      </c>
      <c r="K88" s="43">
        <f>SUM('X-Monthly'!CU88:DF88)</f>
        <v>82.31</v>
      </c>
      <c r="L88" s="43">
        <f>SUM('X-Monthly'!DG88:DR88)</f>
        <v>100.41</v>
      </c>
      <c r="M88" s="43">
        <f>SUM('X-Monthly'!DS88:ED88)</f>
        <v>132.80000000000001</v>
      </c>
      <c r="N88" s="43">
        <v>716.5</v>
      </c>
      <c r="O88" s="43">
        <v>542.81999999999994</v>
      </c>
      <c r="P88" s="43">
        <v>307.03999999999996</v>
      </c>
      <c r="Q88" s="43">
        <v>1630.3700000000001</v>
      </c>
      <c r="R88" s="43">
        <v>2867.74</v>
      </c>
      <c r="S88" s="43">
        <v>5969.4499999999989</v>
      </c>
      <c r="T88" s="43">
        <v>4432.7899999999991</v>
      </c>
      <c r="U88" s="43">
        <v>2327.96</v>
      </c>
      <c r="V88" s="43">
        <v>1553.5299999999997</v>
      </c>
      <c r="W88" s="43">
        <v>2452.6259999999997</v>
      </c>
      <c r="X88" s="43" t="s">
        <v>93</v>
      </c>
      <c r="Y88" s="43">
        <v>34.622010000000003</v>
      </c>
      <c r="Z88" s="43">
        <v>5202.42</v>
      </c>
      <c r="AA88" s="43">
        <v>15799.046</v>
      </c>
      <c r="AB88" s="43">
        <v>10988.046</v>
      </c>
      <c r="AC88" s="43">
        <v>20396.906999999999</v>
      </c>
      <c r="AD88" s="43"/>
      <c r="AE88" s="43"/>
      <c r="AF88" s="43"/>
      <c r="AG88" s="43"/>
      <c r="AH88" s="43"/>
      <c r="AI88" s="43"/>
      <c r="AJ88" s="43"/>
      <c r="AK88" s="43"/>
      <c r="AL88" s="43"/>
      <c r="AM88" s="43"/>
      <c r="AN88" s="43"/>
      <c r="AO88" s="43"/>
      <c r="AP88" s="43"/>
      <c r="AQ88" s="43"/>
      <c r="AR88" s="43"/>
      <c r="AS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  <c r="BF88" s="43"/>
      <c r="BG88" s="43"/>
      <c r="BH88" s="43"/>
      <c r="BI88" s="43"/>
      <c r="BJ88" s="43"/>
      <c r="BK88" s="43"/>
      <c r="BL88" s="43"/>
      <c r="BM88" s="43"/>
      <c r="BN88" s="43"/>
      <c r="BO88" s="43"/>
      <c r="BP88" s="43"/>
      <c r="BQ88" s="43"/>
      <c r="BR88" s="43"/>
      <c r="BS88" s="43"/>
      <c r="BT88" s="43"/>
      <c r="BU88" s="43"/>
      <c r="BV88" s="43"/>
      <c r="BW88" s="43"/>
      <c r="BX88" s="43"/>
      <c r="BY88" s="43"/>
      <c r="BZ88" s="43"/>
      <c r="CA88" s="43"/>
      <c r="CB88" s="43"/>
      <c r="CC88" s="43"/>
      <c r="CD88" s="43"/>
      <c r="CE88" s="43"/>
      <c r="CF88" s="43"/>
      <c r="CG88" s="43"/>
      <c r="CH88" s="43"/>
      <c r="CI88" s="43"/>
      <c r="CJ88" s="43"/>
      <c r="CK88" s="43"/>
      <c r="CL88" s="43"/>
      <c r="CM88" s="43"/>
      <c r="CN88" s="43"/>
      <c r="CO88" s="43"/>
      <c r="CP88" s="43"/>
      <c r="CQ88" s="43"/>
      <c r="CR88" s="43"/>
      <c r="CS88" s="43"/>
      <c r="CT88" s="43"/>
      <c r="CU88" s="43"/>
      <c r="CV88" s="43"/>
      <c r="CW88" s="43"/>
      <c r="CX88" s="43"/>
      <c r="CY88" s="43"/>
      <c r="CZ88" s="43"/>
      <c r="DA88" s="43"/>
      <c r="DB88" s="43"/>
      <c r="DC88" s="43"/>
      <c r="DD88" s="43"/>
      <c r="DE88" s="43"/>
      <c r="DF88" s="43"/>
      <c r="DG88" s="43"/>
      <c r="DH88" s="43"/>
      <c r="DI88" s="43"/>
      <c r="DJ88" s="43"/>
      <c r="DK88" s="43"/>
      <c r="DL88" s="43"/>
      <c r="DM88" s="43"/>
      <c r="DN88" s="43"/>
      <c r="DO88" s="43"/>
      <c r="DP88" s="43"/>
      <c r="DQ88" s="43"/>
      <c r="DR88" s="43"/>
      <c r="DS88" s="43"/>
      <c r="DT88" s="43"/>
      <c r="DU88" s="43"/>
      <c r="DV88" s="43"/>
      <c r="DW88" s="43"/>
      <c r="DX88" s="43"/>
      <c r="DY88" s="43"/>
      <c r="DZ88" s="43"/>
      <c r="EA88" s="43"/>
      <c r="EB88" s="43"/>
      <c r="EC88" s="43"/>
      <c r="ED88" s="43"/>
      <c r="EE88" s="43"/>
      <c r="EF88" s="43"/>
      <c r="EG88" s="43"/>
      <c r="EH88" s="43"/>
      <c r="EI88" s="43"/>
      <c r="EJ88" s="43"/>
      <c r="EK88" s="43"/>
      <c r="EL88" s="43"/>
      <c r="EM88" s="43"/>
      <c r="EN88" s="43"/>
      <c r="EO88" s="43"/>
      <c r="EP88" s="43"/>
      <c r="EQ88" s="43"/>
      <c r="ER88" s="43"/>
      <c r="ES88" s="43"/>
      <c r="ET88" s="43"/>
      <c r="EU88" s="43"/>
      <c r="EV88" s="43"/>
      <c r="EW88" s="43"/>
      <c r="EX88" s="43"/>
      <c r="EY88" s="43"/>
      <c r="EZ88" s="43"/>
      <c r="FA88" s="43"/>
      <c r="FB88" s="43"/>
      <c r="FC88" s="43"/>
      <c r="FD88" s="43"/>
      <c r="FE88" s="43"/>
      <c r="FF88" s="43"/>
      <c r="FG88" s="43"/>
      <c r="FH88" s="43"/>
      <c r="FI88" s="43"/>
      <c r="FJ88" s="43"/>
      <c r="FK88" s="43"/>
      <c r="FL88" s="43"/>
      <c r="FM88" s="43"/>
      <c r="FN88" s="43"/>
      <c r="FO88" s="43"/>
      <c r="FP88" s="43"/>
      <c r="FQ88" s="43"/>
      <c r="FR88" s="43"/>
      <c r="FS88" s="43"/>
      <c r="FT88" s="43"/>
      <c r="FU88" s="43"/>
      <c r="FV88" s="43"/>
      <c r="FW88" s="43"/>
      <c r="FX88" s="43"/>
      <c r="FY88" s="43"/>
      <c r="FZ88" s="43"/>
      <c r="GA88" s="43"/>
      <c r="GB88" s="43"/>
      <c r="GC88" s="43"/>
      <c r="GD88" s="43"/>
      <c r="GE88" s="43"/>
      <c r="GF88" s="43"/>
      <c r="GG88" s="43"/>
      <c r="GH88" s="43"/>
      <c r="GI88" s="43"/>
      <c r="GJ88" s="43"/>
      <c r="GK88" s="43"/>
      <c r="GL88" s="43"/>
      <c r="GM88" s="43"/>
      <c r="GN88" s="43"/>
      <c r="GO88" s="43"/>
      <c r="GP88" s="43"/>
      <c r="GQ88" s="43"/>
      <c r="GR88" s="43"/>
      <c r="GS88" s="43"/>
      <c r="GT88" s="43"/>
      <c r="GU88" s="43"/>
      <c r="GV88" s="43"/>
      <c r="GW88" s="43"/>
      <c r="GX88" s="43"/>
      <c r="GY88" s="43"/>
      <c r="GZ88" s="43"/>
      <c r="HA88" s="43"/>
      <c r="HB88" s="43"/>
      <c r="HC88" s="43"/>
      <c r="HD88" s="43"/>
      <c r="HE88" s="43"/>
      <c r="HF88" s="43"/>
      <c r="HG88" s="43"/>
      <c r="HH88" s="43"/>
      <c r="HI88" s="43"/>
      <c r="HJ88" s="43"/>
      <c r="HK88" s="43"/>
      <c r="HL88" s="43"/>
      <c r="HM88" s="43"/>
      <c r="HN88" s="43"/>
      <c r="HO88" s="43"/>
      <c r="HP88" s="43"/>
      <c r="HQ88" s="43"/>
      <c r="HR88" s="43"/>
      <c r="HS88" s="43"/>
      <c r="HT88" s="43"/>
      <c r="HU88" s="43"/>
      <c r="HV88" s="43"/>
      <c r="HW88" s="43"/>
      <c r="HX88" s="43"/>
      <c r="HY88" s="43"/>
      <c r="HZ88" s="43"/>
      <c r="IA88" s="43"/>
      <c r="IB88" s="43"/>
      <c r="IC88" s="43"/>
      <c r="ID88" s="43"/>
      <c r="IE88" s="43"/>
      <c r="IF88" s="43"/>
      <c r="IG88" s="43"/>
      <c r="IH88" s="43"/>
      <c r="II88" s="43"/>
      <c r="IJ88" s="43"/>
      <c r="IK88" s="43"/>
      <c r="IL88" s="43"/>
      <c r="IM88" s="43"/>
      <c r="IN88" s="43"/>
      <c r="IO88" s="43"/>
      <c r="IP88" s="43"/>
      <c r="IQ88" s="43"/>
      <c r="IR88" s="43"/>
      <c r="IS88" s="43"/>
      <c r="IT88" s="43"/>
      <c r="IU88" s="43"/>
      <c r="IV88" s="43"/>
    </row>
    <row r="89" spans="1:256" s="29" customFormat="1" x14ac:dyDescent="0.3">
      <c r="A89" s="33" t="s">
        <v>12</v>
      </c>
      <c r="B89" s="123" t="s">
        <v>89</v>
      </c>
      <c r="C89" s="43">
        <v>35019.57</v>
      </c>
      <c r="D89" s="43">
        <v>64479.49</v>
      </c>
      <c r="E89" s="43">
        <v>74437.19</v>
      </c>
      <c r="F89" s="43">
        <v>99162.319999999992</v>
      </c>
      <c r="G89" s="43">
        <v>16169.7</v>
      </c>
      <c r="H89" s="43">
        <v>44955.28</v>
      </c>
      <c r="I89" s="43">
        <v>33773.754999999997</v>
      </c>
      <c r="J89" s="43">
        <f>SUM('X-Monthly'!CI89:CT89)</f>
        <v>27667.989999999998</v>
      </c>
      <c r="K89" s="43">
        <f>SUM('X-Monthly'!CU89:DF89)</f>
        <v>12829.5</v>
      </c>
      <c r="L89" s="43">
        <f>SUM('X-Monthly'!DG89:DR89)</f>
        <v>29622.7</v>
      </c>
      <c r="M89" s="43">
        <f>SUM('X-Monthly'!DS89:ED89)</f>
        <v>77889.11</v>
      </c>
      <c r="N89" s="43">
        <v>33901.479999999996</v>
      </c>
      <c r="O89" s="43">
        <v>97884.520000000019</v>
      </c>
      <c r="P89" s="43">
        <v>55132.59</v>
      </c>
      <c r="Q89" s="43">
        <v>119274.54999999999</v>
      </c>
      <c r="R89" s="43">
        <v>115379.35</v>
      </c>
      <c r="S89" s="43">
        <v>83834.03</v>
      </c>
      <c r="T89" s="43">
        <v>102581.73999999999</v>
      </c>
      <c r="U89" s="43">
        <v>117958.46599999999</v>
      </c>
      <c r="V89" s="43">
        <v>100174.08399999999</v>
      </c>
      <c r="W89" s="43">
        <v>141569.47599999997</v>
      </c>
      <c r="X89" s="43">
        <v>209749.78</v>
      </c>
      <c r="Y89" s="43">
        <v>116120.93</v>
      </c>
      <c r="Z89" s="43">
        <v>208674.37400000001</v>
      </c>
      <c r="AA89" s="43">
        <v>308911.48200000002</v>
      </c>
      <c r="AB89" s="43">
        <v>296070.06599999999</v>
      </c>
      <c r="AC89" s="43">
        <v>431991.16599999997</v>
      </c>
      <c r="AD89" s="43"/>
      <c r="AE89" s="43"/>
      <c r="AF89" s="43"/>
      <c r="AG89" s="43"/>
      <c r="AH89" s="43"/>
      <c r="AI89" s="43"/>
      <c r="AJ89" s="43"/>
      <c r="AK89" s="43"/>
      <c r="AL89" s="43"/>
      <c r="AM89" s="43"/>
      <c r="AN89" s="43"/>
      <c r="AO89" s="43"/>
      <c r="AP89" s="43"/>
      <c r="AQ89" s="43"/>
      <c r="AR89" s="43"/>
      <c r="AS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  <c r="BF89" s="43"/>
      <c r="BG89" s="43"/>
      <c r="BH89" s="43"/>
      <c r="BI89" s="43"/>
      <c r="BJ89" s="43"/>
      <c r="BK89" s="43"/>
      <c r="BL89" s="43"/>
      <c r="BM89" s="43"/>
      <c r="BN89" s="43"/>
      <c r="BO89" s="43"/>
      <c r="BP89" s="43"/>
      <c r="BQ89" s="43"/>
      <c r="BR89" s="43"/>
      <c r="BS89" s="43"/>
      <c r="BT89" s="43"/>
      <c r="BU89" s="43"/>
      <c r="BV89" s="43"/>
      <c r="BW89" s="43"/>
      <c r="BX89" s="43"/>
      <c r="BY89" s="43"/>
      <c r="BZ89" s="43"/>
      <c r="CA89" s="43"/>
      <c r="CB89" s="43"/>
      <c r="CC89" s="43"/>
      <c r="CD89" s="43"/>
      <c r="CE89" s="43"/>
      <c r="CF89" s="43"/>
      <c r="CG89" s="43"/>
      <c r="CH89" s="43"/>
      <c r="CI89" s="43"/>
      <c r="CJ89" s="43"/>
      <c r="CK89" s="43"/>
      <c r="CL89" s="43"/>
      <c r="CM89" s="43"/>
      <c r="CN89" s="43"/>
      <c r="CO89" s="43"/>
      <c r="CP89" s="43"/>
      <c r="CQ89" s="43"/>
      <c r="CR89" s="43"/>
      <c r="CS89" s="43"/>
      <c r="CT89" s="43"/>
      <c r="CU89" s="43"/>
      <c r="CV89" s="43"/>
      <c r="CW89" s="43"/>
      <c r="CX89" s="43"/>
      <c r="CY89" s="43"/>
      <c r="CZ89" s="43"/>
      <c r="DA89" s="43"/>
      <c r="DB89" s="43"/>
      <c r="DC89" s="43"/>
      <c r="DD89" s="43"/>
      <c r="DE89" s="43"/>
      <c r="DF89" s="43"/>
      <c r="DG89" s="43"/>
      <c r="DH89" s="43"/>
      <c r="DI89" s="43"/>
      <c r="DJ89" s="43"/>
      <c r="DK89" s="43"/>
      <c r="DL89" s="43"/>
      <c r="DM89" s="43"/>
      <c r="DN89" s="43"/>
      <c r="DO89" s="43"/>
      <c r="DP89" s="43"/>
      <c r="DQ89" s="43"/>
      <c r="DR89" s="43"/>
      <c r="DS89" s="43"/>
      <c r="DT89" s="43"/>
      <c r="DU89" s="43"/>
      <c r="DV89" s="43"/>
      <c r="DW89" s="43"/>
      <c r="DX89" s="43"/>
      <c r="DY89" s="43"/>
      <c r="DZ89" s="43"/>
      <c r="EA89" s="43"/>
      <c r="EB89" s="43"/>
      <c r="EC89" s="43"/>
      <c r="ED89" s="43"/>
      <c r="EE89" s="43"/>
      <c r="EF89" s="43"/>
      <c r="EG89" s="43"/>
      <c r="EH89" s="43"/>
      <c r="EI89" s="43"/>
      <c r="EJ89" s="43"/>
      <c r="EK89" s="43"/>
      <c r="EL89" s="43"/>
      <c r="EM89" s="43"/>
      <c r="EN89" s="43"/>
      <c r="EO89" s="43"/>
      <c r="EP89" s="43"/>
      <c r="EQ89" s="43"/>
      <c r="ER89" s="43"/>
      <c r="ES89" s="43"/>
      <c r="ET89" s="43"/>
      <c r="EU89" s="43"/>
      <c r="EV89" s="43"/>
      <c r="EW89" s="43"/>
      <c r="EX89" s="43"/>
      <c r="EY89" s="43"/>
      <c r="EZ89" s="43"/>
      <c r="FA89" s="43"/>
      <c r="FB89" s="43"/>
      <c r="FC89" s="43"/>
      <c r="FD89" s="43"/>
      <c r="FE89" s="43"/>
      <c r="FF89" s="43"/>
      <c r="FG89" s="43"/>
      <c r="FH89" s="43"/>
      <c r="FI89" s="43"/>
      <c r="FJ89" s="43"/>
      <c r="FK89" s="43"/>
      <c r="FL89" s="43"/>
      <c r="FM89" s="43"/>
      <c r="FN89" s="43"/>
      <c r="FO89" s="43"/>
      <c r="FP89" s="43"/>
      <c r="FQ89" s="43"/>
      <c r="FR89" s="43"/>
      <c r="FS89" s="43"/>
      <c r="FT89" s="43"/>
      <c r="FU89" s="43"/>
      <c r="FV89" s="43"/>
      <c r="FW89" s="43"/>
      <c r="FX89" s="43"/>
      <c r="FY89" s="43"/>
      <c r="FZ89" s="43"/>
      <c r="GA89" s="43"/>
      <c r="GB89" s="43"/>
      <c r="GC89" s="43"/>
      <c r="GD89" s="43"/>
      <c r="GE89" s="43"/>
      <c r="GF89" s="43"/>
      <c r="GG89" s="43"/>
      <c r="GH89" s="43"/>
      <c r="GI89" s="43"/>
      <c r="GJ89" s="43"/>
      <c r="GK89" s="43"/>
      <c r="GL89" s="43"/>
      <c r="GM89" s="43"/>
      <c r="GN89" s="43"/>
      <c r="GO89" s="43"/>
      <c r="GP89" s="43"/>
      <c r="GQ89" s="43"/>
      <c r="GR89" s="43"/>
      <c r="GS89" s="43"/>
      <c r="GT89" s="43"/>
      <c r="GU89" s="43"/>
      <c r="GV89" s="43"/>
      <c r="GW89" s="43"/>
      <c r="GX89" s="43"/>
      <c r="GY89" s="43"/>
      <c r="GZ89" s="43"/>
      <c r="HA89" s="43"/>
      <c r="HB89" s="43"/>
      <c r="HC89" s="43"/>
      <c r="HD89" s="43"/>
      <c r="HE89" s="43"/>
      <c r="HF89" s="43"/>
      <c r="HG89" s="43"/>
      <c r="HH89" s="43"/>
      <c r="HI89" s="43"/>
      <c r="HJ89" s="43"/>
      <c r="HK89" s="43"/>
      <c r="HL89" s="43"/>
      <c r="HM89" s="43"/>
      <c r="HN89" s="43"/>
      <c r="HO89" s="43"/>
      <c r="HP89" s="43"/>
      <c r="HQ89" s="43"/>
      <c r="HR89" s="43"/>
      <c r="HS89" s="43"/>
      <c r="HT89" s="43"/>
      <c r="HU89" s="43"/>
      <c r="HV89" s="43"/>
      <c r="HW89" s="43"/>
      <c r="HX89" s="43"/>
      <c r="HY89" s="43"/>
      <c r="HZ89" s="43"/>
      <c r="IA89" s="43"/>
      <c r="IB89" s="43"/>
      <c r="IC89" s="43"/>
      <c r="ID89" s="43"/>
      <c r="IE89" s="43"/>
      <c r="IF89" s="43"/>
      <c r="IG89" s="43"/>
      <c r="IH89" s="43"/>
      <c r="II89" s="43"/>
      <c r="IJ89" s="43"/>
      <c r="IK89" s="43"/>
      <c r="IL89" s="43"/>
      <c r="IM89" s="43"/>
      <c r="IN89" s="43"/>
      <c r="IO89" s="43"/>
      <c r="IP89" s="43"/>
      <c r="IQ89" s="43"/>
      <c r="IR89" s="43"/>
      <c r="IS89" s="43"/>
      <c r="IT89" s="43"/>
      <c r="IU89" s="43"/>
      <c r="IV89" s="43"/>
    </row>
    <row r="90" spans="1:256" s="29" customFormat="1" x14ac:dyDescent="0.3">
      <c r="A90" s="33" t="s">
        <v>145</v>
      </c>
      <c r="B90" s="123" t="s">
        <v>89</v>
      </c>
      <c r="C90" s="43">
        <v>0</v>
      </c>
      <c r="D90" s="43">
        <v>0</v>
      </c>
      <c r="E90" s="43">
        <v>0</v>
      </c>
      <c r="F90" s="43">
        <v>0</v>
      </c>
      <c r="G90" s="43">
        <v>0</v>
      </c>
      <c r="H90" s="43">
        <v>0</v>
      </c>
      <c r="I90" s="43">
        <v>0</v>
      </c>
      <c r="J90" s="43">
        <v>0</v>
      </c>
      <c r="K90" s="43">
        <v>0</v>
      </c>
      <c r="L90" s="43">
        <v>0</v>
      </c>
      <c r="M90" s="43">
        <v>0</v>
      </c>
      <c r="N90" s="43">
        <v>0</v>
      </c>
      <c r="O90" s="43">
        <v>0</v>
      </c>
      <c r="P90" s="43">
        <v>0</v>
      </c>
      <c r="Q90" s="43">
        <v>259.42</v>
      </c>
      <c r="R90" s="43">
        <v>63.779999999999994</v>
      </c>
      <c r="S90" s="43">
        <v>5813.07</v>
      </c>
      <c r="T90" s="43">
        <v>19517.82</v>
      </c>
      <c r="U90" s="43">
        <v>5201.2309999999998</v>
      </c>
      <c r="V90" s="43">
        <v>1485.3</v>
      </c>
      <c r="W90" s="43">
        <v>13869.484</v>
      </c>
      <c r="X90" s="43">
        <v>43359.97</v>
      </c>
      <c r="Y90" s="43">
        <v>54184.889999999992</v>
      </c>
      <c r="Z90" s="43">
        <v>65795.824000000008</v>
      </c>
      <c r="AA90" s="43">
        <v>69279.159</v>
      </c>
      <c r="AB90" s="43">
        <v>80809.75</v>
      </c>
      <c r="AC90" s="43">
        <v>83545.440000000002</v>
      </c>
      <c r="AD90" s="43"/>
      <c r="AE90" s="43"/>
      <c r="AF90" s="43"/>
      <c r="AG90" s="43"/>
      <c r="AH90" s="43"/>
      <c r="AI90" s="43"/>
      <c r="AJ90" s="43"/>
      <c r="AK90" s="43"/>
      <c r="AL90" s="43"/>
      <c r="AM90" s="43"/>
      <c r="AN90" s="43"/>
      <c r="AO90" s="43"/>
      <c r="AP90" s="43"/>
      <c r="AQ90" s="43"/>
      <c r="AR90" s="43"/>
      <c r="AS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  <c r="BF90" s="43"/>
      <c r="BG90" s="43"/>
      <c r="BH90" s="43"/>
      <c r="BI90" s="43"/>
      <c r="BJ90" s="43"/>
      <c r="BK90" s="43"/>
      <c r="BL90" s="43"/>
      <c r="BM90" s="43"/>
      <c r="BN90" s="43"/>
      <c r="BO90" s="43"/>
      <c r="BP90" s="43"/>
      <c r="BQ90" s="43"/>
      <c r="BR90" s="43"/>
      <c r="BS90" s="43"/>
      <c r="BT90" s="43"/>
      <c r="BU90" s="43"/>
      <c r="BV90" s="43"/>
      <c r="BW90" s="43"/>
      <c r="BX90" s="43"/>
      <c r="BY90" s="43"/>
      <c r="BZ90" s="43"/>
      <c r="CA90" s="43"/>
      <c r="CB90" s="43"/>
      <c r="CC90" s="43"/>
      <c r="CD90" s="43"/>
      <c r="CE90" s="43"/>
      <c r="CF90" s="43"/>
      <c r="CG90" s="43"/>
      <c r="CH90" s="43"/>
      <c r="CI90" s="43"/>
      <c r="CJ90" s="43"/>
      <c r="CK90" s="43"/>
      <c r="CL90" s="43"/>
      <c r="CM90" s="43"/>
      <c r="CN90" s="43"/>
      <c r="CO90" s="43"/>
      <c r="CP90" s="43"/>
      <c r="CQ90" s="43"/>
      <c r="CR90" s="43"/>
      <c r="CS90" s="43"/>
      <c r="CT90" s="43"/>
      <c r="CU90" s="43"/>
      <c r="CV90" s="43"/>
      <c r="CW90" s="43"/>
      <c r="CX90" s="43"/>
      <c r="CY90" s="43"/>
      <c r="CZ90" s="43"/>
      <c r="DA90" s="43"/>
      <c r="DB90" s="43"/>
      <c r="DC90" s="43"/>
      <c r="DD90" s="43"/>
      <c r="DE90" s="43"/>
      <c r="DF90" s="43"/>
      <c r="DG90" s="43"/>
      <c r="DH90" s="43"/>
      <c r="DI90" s="43"/>
      <c r="DJ90" s="43"/>
      <c r="DK90" s="43"/>
      <c r="DL90" s="43"/>
      <c r="DM90" s="43"/>
      <c r="DN90" s="43"/>
      <c r="DO90" s="43"/>
      <c r="DP90" s="43"/>
      <c r="DQ90" s="43"/>
      <c r="DR90" s="43"/>
      <c r="DS90" s="43"/>
      <c r="DT90" s="43"/>
      <c r="DU90" s="43"/>
      <c r="DV90" s="43"/>
      <c r="DW90" s="43"/>
      <c r="DX90" s="43"/>
      <c r="DY90" s="43"/>
      <c r="DZ90" s="43"/>
      <c r="EA90" s="43"/>
      <c r="EB90" s="43"/>
      <c r="EC90" s="43"/>
      <c r="ED90" s="43"/>
      <c r="EE90" s="43"/>
      <c r="EF90" s="43"/>
      <c r="EG90" s="43"/>
      <c r="EH90" s="43"/>
      <c r="EI90" s="43"/>
      <c r="EJ90" s="43"/>
      <c r="EK90" s="43"/>
      <c r="EL90" s="43"/>
      <c r="EM90" s="43"/>
      <c r="EN90" s="43"/>
      <c r="EO90" s="43"/>
      <c r="EP90" s="43"/>
      <c r="EQ90" s="43"/>
      <c r="ER90" s="43"/>
      <c r="ES90" s="43"/>
      <c r="ET90" s="43"/>
      <c r="EU90" s="43"/>
      <c r="EV90" s="43"/>
      <c r="EW90" s="43"/>
      <c r="EX90" s="43"/>
      <c r="EY90" s="43"/>
      <c r="EZ90" s="43"/>
      <c r="FA90" s="43"/>
      <c r="FB90" s="43"/>
      <c r="FC90" s="43"/>
      <c r="FD90" s="43"/>
      <c r="FE90" s="43"/>
      <c r="FF90" s="43"/>
      <c r="FG90" s="43"/>
      <c r="FH90" s="43"/>
      <c r="FI90" s="43"/>
      <c r="FJ90" s="43"/>
      <c r="FK90" s="43"/>
      <c r="FL90" s="43"/>
      <c r="FM90" s="43"/>
      <c r="FN90" s="43"/>
      <c r="FO90" s="43"/>
      <c r="FP90" s="43"/>
      <c r="FQ90" s="43"/>
      <c r="FR90" s="43"/>
      <c r="FS90" s="43"/>
      <c r="FT90" s="43"/>
      <c r="FU90" s="43"/>
      <c r="FV90" s="43"/>
      <c r="FW90" s="43"/>
      <c r="FX90" s="43"/>
      <c r="FY90" s="43"/>
      <c r="FZ90" s="43"/>
      <c r="GA90" s="43"/>
      <c r="GB90" s="43"/>
      <c r="GC90" s="43"/>
      <c r="GD90" s="43"/>
      <c r="GE90" s="43"/>
      <c r="GF90" s="43"/>
      <c r="GG90" s="43"/>
      <c r="GH90" s="43"/>
      <c r="GI90" s="43"/>
      <c r="GJ90" s="43"/>
      <c r="GK90" s="43"/>
      <c r="GL90" s="43"/>
      <c r="GM90" s="43"/>
      <c r="GN90" s="43"/>
      <c r="GO90" s="43"/>
      <c r="GP90" s="43"/>
      <c r="GQ90" s="43"/>
      <c r="GR90" s="43"/>
      <c r="GS90" s="43"/>
      <c r="GT90" s="43"/>
      <c r="GU90" s="43"/>
      <c r="GV90" s="43"/>
      <c r="GW90" s="43"/>
      <c r="GX90" s="43"/>
      <c r="GY90" s="43"/>
      <c r="GZ90" s="43"/>
      <c r="HA90" s="43"/>
      <c r="HB90" s="43"/>
      <c r="HC90" s="43"/>
      <c r="HD90" s="43"/>
      <c r="HE90" s="43"/>
      <c r="HF90" s="43"/>
      <c r="HG90" s="43"/>
      <c r="HH90" s="43"/>
      <c r="HI90" s="43"/>
      <c r="HJ90" s="43"/>
      <c r="HK90" s="43"/>
      <c r="HL90" s="43"/>
      <c r="HM90" s="43"/>
      <c r="HN90" s="43"/>
      <c r="HO90" s="43"/>
      <c r="HP90" s="43"/>
      <c r="HQ90" s="43"/>
      <c r="HR90" s="43"/>
      <c r="HS90" s="43"/>
      <c r="HT90" s="43"/>
      <c r="HU90" s="43"/>
      <c r="HV90" s="43"/>
      <c r="HW90" s="43"/>
      <c r="HX90" s="43"/>
      <c r="HY90" s="43"/>
      <c r="HZ90" s="43"/>
      <c r="IA90" s="43"/>
      <c r="IB90" s="43"/>
      <c r="IC90" s="43"/>
      <c r="ID90" s="43"/>
      <c r="IE90" s="43"/>
      <c r="IF90" s="43"/>
      <c r="IG90" s="43"/>
      <c r="IH90" s="43"/>
      <c r="II90" s="43"/>
      <c r="IJ90" s="43"/>
      <c r="IK90" s="43"/>
      <c r="IL90" s="43"/>
      <c r="IM90" s="43"/>
      <c r="IN90" s="43"/>
      <c r="IO90" s="43"/>
      <c r="IP90" s="43"/>
      <c r="IQ90" s="43"/>
      <c r="IR90" s="43"/>
      <c r="IS90" s="43"/>
      <c r="IT90" s="43"/>
      <c r="IU90" s="43"/>
      <c r="IV90" s="43"/>
    </row>
    <row r="91" spans="1:256" s="29" customFormat="1" x14ac:dyDescent="0.3">
      <c r="A91" s="33" t="s">
        <v>96</v>
      </c>
      <c r="B91" s="123" t="s">
        <v>89</v>
      </c>
      <c r="C91" s="43">
        <v>2069.36</v>
      </c>
      <c r="D91" s="43">
        <v>2395.19</v>
      </c>
      <c r="E91" s="43">
        <v>6178</v>
      </c>
      <c r="F91" s="43">
        <v>8668.17</v>
      </c>
      <c r="G91" s="43">
        <v>13010.229999999998</v>
      </c>
      <c r="H91" s="43">
        <v>9254.7200000000012</v>
      </c>
      <c r="I91" s="43">
        <v>9880.9097000000002</v>
      </c>
      <c r="J91" s="43">
        <f>SUM('X-Monthly'!CI91:CT91)</f>
        <v>16291.599999999997</v>
      </c>
      <c r="K91" s="43">
        <f>SUM('X-Monthly'!CU91:DF91)</f>
        <v>7430.8900000000012</v>
      </c>
      <c r="L91" s="43">
        <f>SUM('X-Monthly'!DG91:DR91)</f>
        <v>20362.641</v>
      </c>
      <c r="M91" s="43">
        <f>SUM('X-Monthly'!DS91:ED91)</f>
        <v>27937.7</v>
      </c>
      <c r="N91" s="43">
        <v>23967.159999999996</v>
      </c>
      <c r="O91" s="43">
        <v>26890.3</v>
      </c>
      <c r="P91" s="43">
        <v>32148.53</v>
      </c>
      <c r="Q91" s="43">
        <v>38616.03</v>
      </c>
      <c r="R91" s="43">
        <v>35641.879999999997</v>
      </c>
      <c r="S91" s="43">
        <v>27992.030000000002</v>
      </c>
      <c r="T91" s="43">
        <v>21901.217000000004</v>
      </c>
      <c r="U91" s="43">
        <v>24552.157261955028</v>
      </c>
      <c r="V91" s="43">
        <v>21879.894</v>
      </c>
      <c r="W91" s="43">
        <v>20690.536</v>
      </c>
      <c r="X91" s="43">
        <v>20202.309799999999</v>
      </c>
      <c r="Y91" s="43">
        <v>16873.670000000002</v>
      </c>
      <c r="Z91" s="43">
        <v>19020.143</v>
      </c>
      <c r="AA91" s="43">
        <v>19327.833999999995</v>
      </c>
      <c r="AB91" s="43">
        <v>20191.385999999999</v>
      </c>
      <c r="AC91" s="43">
        <v>19389.300200000001</v>
      </c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  <c r="BF91" s="43"/>
      <c r="BG91" s="43"/>
      <c r="BH91" s="43"/>
      <c r="BI91" s="43"/>
      <c r="BJ91" s="43"/>
      <c r="BK91" s="43"/>
      <c r="BL91" s="43"/>
      <c r="BM91" s="43"/>
      <c r="BN91" s="43"/>
      <c r="BO91" s="43"/>
      <c r="BP91" s="43"/>
      <c r="BQ91" s="43"/>
      <c r="BR91" s="43"/>
      <c r="BS91" s="43"/>
      <c r="BT91" s="43"/>
      <c r="BU91" s="43"/>
      <c r="BV91" s="43"/>
      <c r="BW91" s="43"/>
      <c r="BX91" s="43"/>
      <c r="BY91" s="43"/>
      <c r="BZ91" s="43"/>
      <c r="CA91" s="43"/>
      <c r="CB91" s="43"/>
      <c r="CC91" s="43"/>
      <c r="CD91" s="43"/>
      <c r="CE91" s="43"/>
      <c r="CF91" s="43"/>
      <c r="CG91" s="43"/>
      <c r="CH91" s="43"/>
      <c r="CI91" s="43"/>
      <c r="CJ91" s="43"/>
      <c r="CK91" s="43"/>
      <c r="CL91" s="43"/>
      <c r="CM91" s="43"/>
      <c r="CN91" s="43"/>
      <c r="CO91" s="43"/>
      <c r="CP91" s="43"/>
      <c r="CQ91" s="43"/>
      <c r="CR91" s="43"/>
      <c r="CS91" s="43"/>
      <c r="CT91" s="43"/>
      <c r="CU91" s="43"/>
      <c r="CV91" s="43"/>
      <c r="CW91" s="43"/>
      <c r="CX91" s="43"/>
      <c r="CY91" s="43"/>
      <c r="CZ91" s="43"/>
      <c r="DA91" s="43"/>
      <c r="DB91" s="43"/>
      <c r="DC91" s="43"/>
      <c r="DD91" s="43"/>
      <c r="DE91" s="43"/>
      <c r="DF91" s="43"/>
      <c r="DG91" s="43"/>
      <c r="DH91" s="43"/>
      <c r="DI91" s="43"/>
      <c r="DJ91" s="43"/>
      <c r="DK91" s="43"/>
      <c r="DL91" s="43"/>
      <c r="DM91" s="43"/>
      <c r="DN91" s="43"/>
      <c r="DO91" s="43"/>
      <c r="DP91" s="43"/>
      <c r="DQ91" s="43"/>
      <c r="DR91" s="43"/>
      <c r="DS91" s="43"/>
      <c r="DT91" s="43"/>
      <c r="DU91" s="43"/>
      <c r="DV91" s="43"/>
      <c r="DW91" s="43"/>
      <c r="DX91" s="43"/>
      <c r="DY91" s="43"/>
      <c r="DZ91" s="43"/>
      <c r="EA91" s="43"/>
      <c r="EB91" s="43"/>
      <c r="EC91" s="43"/>
      <c r="ED91" s="43"/>
      <c r="EE91" s="43"/>
      <c r="EF91" s="43"/>
      <c r="EG91" s="43"/>
      <c r="EH91" s="43"/>
      <c r="EI91" s="43"/>
      <c r="EJ91" s="43"/>
      <c r="EK91" s="43"/>
      <c r="EL91" s="43"/>
      <c r="EM91" s="43"/>
      <c r="EN91" s="43"/>
      <c r="EO91" s="43"/>
      <c r="EP91" s="43"/>
      <c r="EQ91" s="43"/>
      <c r="ER91" s="43"/>
      <c r="ES91" s="43"/>
      <c r="ET91" s="43"/>
      <c r="EU91" s="43"/>
      <c r="EV91" s="43"/>
      <c r="EW91" s="43"/>
      <c r="EX91" s="43"/>
      <c r="EY91" s="43"/>
      <c r="EZ91" s="43"/>
      <c r="FA91" s="43"/>
      <c r="FB91" s="43"/>
      <c r="FC91" s="43"/>
      <c r="FD91" s="43"/>
      <c r="FE91" s="43"/>
      <c r="FF91" s="43"/>
      <c r="FG91" s="43"/>
      <c r="FH91" s="43"/>
      <c r="FI91" s="43"/>
      <c r="FJ91" s="43"/>
      <c r="FK91" s="43"/>
      <c r="FL91" s="43"/>
      <c r="FM91" s="43"/>
      <c r="FN91" s="43"/>
      <c r="FO91" s="43"/>
      <c r="FP91" s="43"/>
      <c r="FQ91" s="43"/>
      <c r="FR91" s="43"/>
      <c r="FS91" s="43"/>
      <c r="FT91" s="43"/>
      <c r="FU91" s="43"/>
      <c r="FV91" s="43"/>
      <c r="FW91" s="43"/>
      <c r="FX91" s="43"/>
      <c r="FY91" s="43"/>
      <c r="FZ91" s="43"/>
      <c r="GA91" s="43"/>
      <c r="GB91" s="43"/>
      <c r="GC91" s="43"/>
      <c r="GD91" s="43"/>
      <c r="GE91" s="43"/>
      <c r="GF91" s="43"/>
      <c r="GG91" s="43"/>
      <c r="GH91" s="43"/>
      <c r="GI91" s="43"/>
      <c r="GJ91" s="43"/>
      <c r="GK91" s="43"/>
      <c r="GL91" s="43"/>
      <c r="GM91" s="43"/>
      <c r="GN91" s="43"/>
      <c r="GO91" s="43"/>
      <c r="GP91" s="43"/>
      <c r="GQ91" s="43"/>
      <c r="GR91" s="43"/>
      <c r="GS91" s="43"/>
      <c r="GT91" s="43"/>
      <c r="GU91" s="43"/>
      <c r="GV91" s="43"/>
      <c r="GW91" s="43"/>
      <c r="GX91" s="43"/>
      <c r="GY91" s="43"/>
      <c r="GZ91" s="43"/>
      <c r="HA91" s="43"/>
      <c r="HB91" s="43"/>
      <c r="HC91" s="43"/>
      <c r="HD91" s="43"/>
      <c r="HE91" s="43"/>
      <c r="HF91" s="43"/>
      <c r="HG91" s="43"/>
      <c r="HH91" s="43"/>
      <c r="HI91" s="43"/>
      <c r="HJ91" s="43"/>
      <c r="HK91" s="43"/>
      <c r="HL91" s="43"/>
      <c r="HM91" s="43"/>
      <c r="HN91" s="43"/>
      <c r="HO91" s="43"/>
      <c r="HP91" s="43"/>
      <c r="HQ91" s="43"/>
      <c r="HR91" s="43"/>
      <c r="HS91" s="43"/>
      <c r="HT91" s="43"/>
      <c r="HU91" s="43"/>
      <c r="HV91" s="43"/>
      <c r="HW91" s="43"/>
      <c r="HX91" s="43"/>
      <c r="HY91" s="43"/>
      <c r="HZ91" s="43"/>
      <c r="IA91" s="43"/>
      <c r="IB91" s="43"/>
      <c r="IC91" s="43"/>
      <c r="ID91" s="43"/>
      <c r="IE91" s="43"/>
      <c r="IF91" s="43"/>
      <c r="IG91" s="43"/>
      <c r="IH91" s="43"/>
      <c r="II91" s="43"/>
      <c r="IJ91" s="43"/>
      <c r="IK91" s="43"/>
      <c r="IL91" s="43"/>
      <c r="IM91" s="43"/>
      <c r="IN91" s="43"/>
      <c r="IO91" s="43"/>
      <c r="IP91" s="43"/>
      <c r="IQ91" s="43"/>
      <c r="IR91" s="43"/>
      <c r="IS91" s="43"/>
      <c r="IT91" s="43"/>
      <c r="IU91" s="43"/>
      <c r="IV91" s="43"/>
    </row>
    <row r="92" spans="1:256" s="29" customFormat="1" x14ac:dyDescent="0.3">
      <c r="A92" s="33" t="s">
        <v>29</v>
      </c>
      <c r="B92" s="123" t="s">
        <v>89</v>
      </c>
      <c r="C92" s="43">
        <v>108.42</v>
      </c>
      <c r="D92" s="43">
        <v>196.52</v>
      </c>
      <c r="E92" s="43">
        <v>1144.92</v>
      </c>
      <c r="F92" s="43">
        <v>1184.21</v>
      </c>
      <c r="G92" s="43">
        <v>2140.9500000000003</v>
      </c>
      <c r="H92" s="43">
        <v>1715.78</v>
      </c>
      <c r="I92" s="43">
        <v>2233.5702000000001</v>
      </c>
      <c r="J92" s="43">
        <f>SUM('X-Monthly'!CI92:CT92)</f>
        <v>8571.5300000000007</v>
      </c>
      <c r="K92" s="43">
        <f>SUM('X-Monthly'!CU92:DF92)</f>
        <v>6070.6799999999994</v>
      </c>
      <c r="L92" s="43">
        <f>SUM('X-Monthly'!DG92:DR92)</f>
        <v>3748.7719999999999</v>
      </c>
      <c r="M92" s="43">
        <f>SUM('X-Monthly'!DS92:ED92)</f>
        <v>9131.98</v>
      </c>
      <c r="N92" s="43">
        <v>6775.5839999999998</v>
      </c>
      <c r="O92" s="43">
        <v>12705.02</v>
      </c>
      <c r="P92" s="43">
        <v>15272.93</v>
      </c>
      <c r="Q92" s="43">
        <v>146938.78</v>
      </c>
      <c r="R92" s="43">
        <v>16898.650000000001</v>
      </c>
      <c r="S92" s="43">
        <v>16406.830000000002</v>
      </c>
      <c r="T92" s="43">
        <v>17049.419999999998</v>
      </c>
      <c r="U92" s="43">
        <v>13068.863000000001</v>
      </c>
      <c r="V92" s="43">
        <v>16352.330000000002</v>
      </c>
      <c r="W92" s="43">
        <v>10798.179000000002</v>
      </c>
      <c r="X92" s="43">
        <v>16466.706900000001</v>
      </c>
      <c r="Y92" s="43">
        <v>12652.490000000002</v>
      </c>
      <c r="Z92" s="43">
        <v>43802.394</v>
      </c>
      <c r="AA92" s="43">
        <v>82357.073000000004</v>
      </c>
      <c r="AB92" s="43">
        <v>65998.263000000006</v>
      </c>
      <c r="AC92" s="43">
        <v>135249.76400000002</v>
      </c>
      <c r="AD92" s="43"/>
      <c r="AE92" s="43"/>
      <c r="AF92" s="43"/>
      <c r="AG92" s="43"/>
      <c r="AH92" s="43"/>
      <c r="AI92" s="43"/>
      <c r="AJ92" s="43"/>
      <c r="AK92" s="43"/>
      <c r="AL92" s="43"/>
      <c r="AM92" s="43"/>
      <c r="AN92" s="43"/>
      <c r="AO92" s="43"/>
      <c r="AP92" s="43"/>
      <c r="AQ92" s="43"/>
      <c r="AR92" s="43"/>
      <c r="AS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  <c r="BF92" s="43"/>
      <c r="BG92" s="43"/>
      <c r="BH92" s="43"/>
      <c r="BI92" s="43"/>
      <c r="BJ92" s="43"/>
      <c r="BK92" s="43"/>
      <c r="BL92" s="43"/>
      <c r="BM92" s="43"/>
      <c r="BN92" s="43"/>
      <c r="BO92" s="43"/>
      <c r="BP92" s="43"/>
      <c r="BQ92" s="43"/>
      <c r="BR92" s="43"/>
      <c r="BS92" s="43"/>
      <c r="BT92" s="43"/>
      <c r="BU92" s="43"/>
      <c r="BV92" s="43"/>
      <c r="BW92" s="43"/>
      <c r="BX92" s="43"/>
      <c r="BY92" s="43"/>
      <c r="BZ92" s="43"/>
      <c r="CA92" s="43"/>
      <c r="CB92" s="43"/>
      <c r="CC92" s="43"/>
      <c r="CD92" s="43"/>
      <c r="CE92" s="43"/>
      <c r="CF92" s="43"/>
      <c r="CG92" s="43"/>
      <c r="CH92" s="43"/>
      <c r="CI92" s="43"/>
      <c r="CJ92" s="43"/>
      <c r="CK92" s="43"/>
      <c r="CL92" s="43"/>
      <c r="CM92" s="43"/>
      <c r="CN92" s="43"/>
      <c r="CO92" s="43"/>
      <c r="CP92" s="43"/>
      <c r="CQ92" s="43"/>
      <c r="CR92" s="43"/>
      <c r="CS92" s="43"/>
      <c r="CT92" s="43"/>
      <c r="CU92" s="43"/>
      <c r="CV92" s="43"/>
      <c r="CW92" s="43"/>
      <c r="CX92" s="43"/>
      <c r="CY92" s="43"/>
      <c r="CZ92" s="43"/>
      <c r="DA92" s="43"/>
      <c r="DB92" s="43"/>
      <c r="DC92" s="43"/>
      <c r="DD92" s="43"/>
      <c r="DE92" s="43"/>
      <c r="DF92" s="43"/>
      <c r="DG92" s="43"/>
      <c r="DH92" s="43"/>
      <c r="DI92" s="43"/>
      <c r="DJ92" s="43"/>
      <c r="DK92" s="43"/>
      <c r="DL92" s="43"/>
      <c r="DM92" s="43"/>
      <c r="DN92" s="43"/>
      <c r="DO92" s="43"/>
      <c r="DP92" s="43"/>
      <c r="DQ92" s="43"/>
      <c r="DR92" s="43"/>
      <c r="DS92" s="43"/>
      <c r="DT92" s="43"/>
      <c r="DU92" s="43"/>
      <c r="DV92" s="43"/>
      <c r="DW92" s="43"/>
      <c r="DX92" s="43"/>
      <c r="DY92" s="43"/>
      <c r="DZ92" s="43"/>
      <c r="EA92" s="43"/>
      <c r="EB92" s="43"/>
      <c r="EC92" s="43"/>
      <c r="ED92" s="43"/>
      <c r="EE92" s="43"/>
      <c r="EF92" s="43"/>
      <c r="EG92" s="43"/>
      <c r="EH92" s="43"/>
      <c r="EI92" s="43"/>
      <c r="EJ92" s="43"/>
      <c r="EK92" s="43"/>
      <c r="EL92" s="43"/>
      <c r="EM92" s="43"/>
      <c r="EN92" s="43"/>
      <c r="EO92" s="43"/>
      <c r="EP92" s="43"/>
      <c r="EQ92" s="43"/>
      <c r="ER92" s="43"/>
      <c r="ES92" s="43"/>
      <c r="ET92" s="43"/>
      <c r="EU92" s="43"/>
      <c r="EV92" s="43"/>
      <c r="EW92" s="43"/>
      <c r="EX92" s="43"/>
      <c r="EY92" s="43"/>
      <c r="EZ92" s="43"/>
      <c r="FA92" s="43"/>
      <c r="FB92" s="43"/>
      <c r="FC92" s="43"/>
      <c r="FD92" s="43"/>
      <c r="FE92" s="43"/>
      <c r="FF92" s="43"/>
      <c r="FG92" s="43"/>
      <c r="FH92" s="43"/>
      <c r="FI92" s="43"/>
      <c r="FJ92" s="43"/>
      <c r="FK92" s="43"/>
      <c r="FL92" s="43"/>
      <c r="FM92" s="43"/>
      <c r="FN92" s="43"/>
      <c r="FO92" s="43"/>
      <c r="FP92" s="43"/>
      <c r="FQ92" s="43"/>
      <c r="FR92" s="43"/>
      <c r="FS92" s="43"/>
      <c r="FT92" s="43"/>
      <c r="FU92" s="43"/>
      <c r="FV92" s="43"/>
      <c r="FW92" s="43"/>
      <c r="FX92" s="43"/>
      <c r="FY92" s="43"/>
      <c r="FZ92" s="43"/>
      <c r="GA92" s="43"/>
      <c r="GB92" s="43"/>
      <c r="GC92" s="43"/>
      <c r="GD92" s="43"/>
      <c r="GE92" s="43"/>
      <c r="GF92" s="43"/>
      <c r="GG92" s="43"/>
      <c r="GH92" s="43"/>
      <c r="GI92" s="43"/>
      <c r="GJ92" s="43"/>
      <c r="GK92" s="43"/>
      <c r="GL92" s="43"/>
      <c r="GM92" s="43"/>
      <c r="GN92" s="43"/>
      <c r="GO92" s="43"/>
      <c r="GP92" s="43"/>
      <c r="GQ92" s="43"/>
      <c r="GR92" s="43"/>
      <c r="GS92" s="43"/>
      <c r="GT92" s="43"/>
      <c r="GU92" s="43"/>
      <c r="GV92" s="43"/>
      <c r="GW92" s="43"/>
      <c r="GX92" s="43"/>
      <c r="GY92" s="43"/>
      <c r="GZ92" s="43"/>
      <c r="HA92" s="43"/>
      <c r="HB92" s="43"/>
      <c r="HC92" s="43"/>
      <c r="HD92" s="43"/>
      <c r="HE92" s="43"/>
      <c r="HF92" s="43"/>
      <c r="HG92" s="43"/>
      <c r="HH92" s="43"/>
      <c r="HI92" s="43"/>
      <c r="HJ92" s="43"/>
      <c r="HK92" s="43"/>
      <c r="HL92" s="43"/>
      <c r="HM92" s="43"/>
      <c r="HN92" s="43"/>
      <c r="HO92" s="43"/>
      <c r="HP92" s="43"/>
      <c r="HQ92" s="43"/>
      <c r="HR92" s="43"/>
      <c r="HS92" s="43"/>
      <c r="HT92" s="43"/>
      <c r="HU92" s="43"/>
      <c r="HV92" s="43"/>
      <c r="HW92" s="43"/>
      <c r="HX92" s="43"/>
      <c r="HY92" s="43"/>
      <c r="HZ92" s="43"/>
      <c r="IA92" s="43"/>
      <c r="IB92" s="43"/>
      <c r="IC92" s="43"/>
      <c r="ID92" s="43"/>
      <c r="IE92" s="43"/>
      <c r="IF92" s="43"/>
      <c r="IG92" s="43"/>
      <c r="IH92" s="43"/>
      <c r="II92" s="43"/>
      <c r="IJ92" s="43"/>
      <c r="IK92" s="43"/>
      <c r="IL92" s="43"/>
      <c r="IM92" s="43"/>
      <c r="IN92" s="43"/>
      <c r="IO92" s="43"/>
      <c r="IP92" s="43"/>
      <c r="IQ92" s="43"/>
      <c r="IR92" s="43"/>
      <c r="IS92" s="43"/>
      <c r="IT92" s="43"/>
      <c r="IU92" s="43"/>
      <c r="IV92" s="43"/>
    </row>
    <row r="93" spans="1:256" s="29" customFormat="1" x14ac:dyDescent="0.3">
      <c r="A93" s="33" t="s">
        <v>97</v>
      </c>
      <c r="B93" s="123" t="s">
        <v>89</v>
      </c>
      <c r="C93" s="43">
        <v>1975.25</v>
      </c>
      <c r="D93" s="43">
        <v>4751.22</v>
      </c>
      <c r="E93" s="43">
        <v>5981.909999999998</v>
      </c>
      <c r="F93" s="43">
        <v>38334.200000000004</v>
      </c>
      <c r="G93" s="43">
        <v>5146.29</v>
      </c>
      <c r="H93" s="43">
        <v>4483.9799999999996</v>
      </c>
      <c r="I93" s="43">
        <v>6108.1569999999992</v>
      </c>
      <c r="J93" s="43">
        <f>SUM('X-Monthly'!CI93:CT93)</f>
        <v>11409.38</v>
      </c>
      <c r="K93" s="43">
        <f>SUM('X-Monthly'!CU93:DF93)</f>
        <v>8292.24</v>
      </c>
      <c r="L93" s="43">
        <f>SUM('X-Monthly'!DG93:DR93)</f>
        <v>17846.54</v>
      </c>
      <c r="M93" s="43">
        <f>SUM('X-Monthly'!DS93:ED93)</f>
        <v>23290.13</v>
      </c>
      <c r="N93" s="43">
        <v>15672.18</v>
      </c>
      <c r="O93" s="43">
        <v>22649.659999999996</v>
      </c>
      <c r="P93" s="43">
        <v>23780.329999999994</v>
      </c>
      <c r="Q93" s="43">
        <v>25360.97</v>
      </c>
      <c r="R93" s="43">
        <v>25984.579999999998</v>
      </c>
      <c r="S93" s="43">
        <v>16051.739999999998</v>
      </c>
      <c r="T93" s="43">
        <v>6995.1900000000005</v>
      </c>
      <c r="U93" s="43">
        <v>7589.0261946135797</v>
      </c>
      <c r="V93" s="43">
        <v>19161.460999999999</v>
      </c>
      <c r="W93" s="43">
        <v>22771.655999999999</v>
      </c>
      <c r="X93" s="43">
        <v>15357.942000000001</v>
      </c>
      <c r="Y93" s="43">
        <v>31773.51</v>
      </c>
      <c r="Z93" s="43">
        <v>32469.324000000001</v>
      </c>
      <c r="AA93" s="43">
        <v>26285.540999999997</v>
      </c>
      <c r="AB93" s="43">
        <v>24700.484</v>
      </c>
      <c r="AC93" s="43">
        <v>26769.898000000001</v>
      </c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3"/>
      <c r="BK93" s="43"/>
      <c r="BL93" s="43"/>
      <c r="BM93" s="43"/>
      <c r="BN93" s="43"/>
      <c r="BO93" s="43"/>
      <c r="BP93" s="43"/>
      <c r="BQ93" s="43"/>
      <c r="BR93" s="43"/>
      <c r="BS93" s="43"/>
      <c r="BT93" s="43"/>
      <c r="BU93" s="43"/>
      <c r="BV93" s="43"/>
      <c r="BW93" s="43"/>
      <c r="BX93" s="43"/>
      <c r="BY93" s="43"/>
      <c r="BZ93" s="43"/>
      <c r="CA93" s="43"/>
      <c r="CB93" s="43"/>
      <c r="CC93" s="43"/>
      <c r="CD93" s="43"/>
      <c r="CE93" s="43"/>
      <c r="CF93" s="43"/>
      <c r="CG93" s="43"/>
      <c r="CH93" s="43"/>
      <c r="CI93" s="43"/>
      <c r="CJ93" s="43"/>
      <c r="CK93" s="43"/>
      <c r="CL93" s="43"/>
      <c r="CM93" s="43"/>
      <c r="CN93" s="43"/>
      <c r="CO93" s="43"/>
      <c r="CP93" s="43"/>
      <c r="CQ93" s="43"/>
      <c r="CR93" s="43"/>
      <c r="CS93" s="43"/>
      <c r="CT93" s="43"/>
      <c r="CU93" s="43"/>
      <c r="CV93" s="43"/>
      <c r="CW93" s="43"/>
      <c r="CX93" s="43"/>
      <c r="CY93" s="43"/>
      <c r="CZ93" s="43"/>
      <c r="DA93" s="43"/>
      <c r="DB93" s="43"/>
      <c r="DC93" s="43"/>
      <c r="DD93" s="43"/>
      <c r="DE93" s="43"/>
      <c r="DF93" s="43"/>
      <c r="DG93" s="43"/>
      <c r="DH93" s="43"/>
      <c r="DI93" s="43"/>
      <c r="DJ93" s="43"/>
      <c r="DK93" s="43"/>
      <c r="DL93" s="43"/>
      <c r="DM93" s="43"/>
      <c r="DN93" s="43"/>
      <c r="DO93" s="43"/>
      <c r="DP93" s="43"/>
      <c r="DQ93" s="43"/>
      <c r="DR93" s="43"/>
      <c r="DS93" s="43"/>
      <c r="DT93" s="43"/>
      <c r="DU93" s="43"/>
      <c r="DV93" s="43"/>
      <c r="DW93" s="43"/>
      <c r="DX93" s="43"/>
      <c r="DY93" s="43"/>
      <c r="DZ93" s="43"/>
      <c r="EA93" s="43"/>
      <c r="EB93" s="43"/>
      <c r="EC93" s="43"/>
      <c r="ED93" s="43"/>
      <c r="EE93" s="43"/>
      <c r="EF93" s="43"/>
      <c r="EG93" s="43"/>
      <c r="EH93" s="43"/>
      <c r="EI93" s="43"/>
      <c r="EJ93" s="43"/>
      <c r="EK93" s="43"/>
      <c r="EL93" s="43"/>
      <c r="EM93" s="43"/>
      <c r="EN93" s="43"/>
      <c r="EO93" s="43"/>
      <c r="EP93" s="43"/>
      <c r="EQ93" s="43"/>
      <c r="ER93" s="43"/>
      <c r="ES93" s="43"/>
      <c r="ET93" s="43"/>
      <c r="EU93" s="43"/>
      <c r="EV93" s="43"/>
      <c r="EW93" s="43"/>
      <c r="EX93" s="43"/>
      <c r="EY93" s="43"/>
      <c r="EZ93" s="43"/>
      <c r="FA93" s="43"/>
      <c r="FB93" s="43"/>
      <c r="FC93" s="43"/>
      <c r="FD93" s="43"/>
      <c r="FE93" s="43"/>
      <c r="FF93" s="43"/>
      <c r="FG93" s="43"/>
      <c r="FH93" s="43"/>
      <c r="FI93" s="43"/>
      <c r="FJ93" s="43"/>
      <c r="FK93" s="43"/>
      <c r="FL93" s="43"/>
      <c r="FM93" s="43"/>
      <c r="FN93" s="43"/>
      <c r="FO93" s="43"/>
      <c r="FP93" s="43"/>
      <c r="FQ93" s="43"/>
      <c r="FR93" s="43"/>
      <c r="FS93" s="43"/>
      <c r="FT93" s="43"/>
      <c r="FU93" s="43"/>
      <c r="FV93" s="43"/>
      <c r="FW93" s="43"/>
      <c r="FX93" s="43"/>
      <c r="FY93" s="43"/>
      <c r="FZ93" s="43"/>
      <c r="GA93" s="43"/>
      <c r="GB93" s="43"/>
      <c r="GC93" s="43"/>
      <c r="GD93" s="43"/>
      <c r="GE93" s="43"/>
      <c r="GF93" s="43"/>
      <c r="GG93" s="43"/>
      <c r="GH93" s="43"/>
      <c r="GI93" s="43"/>
      <c r="GJ93" s="43"/>
      <c r="GK93" s="43"/>
      <c r="GL93" s="43"/>
      <c r="GM93" s="43"/>
      <c r="GN93" s="43"/>
      <c r="GO93" s="43"/>
      <c r="GP93" s="43"/>
      <c r="GQ93" s="43"/>
      <c r="GR93" s="43"/>
      <c r="GS93" s="43"/>
      <c r="GT93" s="43"/>
      <c r="GU93" s="43"/>
      <c r="GV93" s="43"/>
      <c r="GW93" s="43"/>
      <c r="GX93" s="43"/>
      <c r="GY93" s="43"/>
      <c r="GZ93" s="43"/>
      <c r="HA93" s="43"/>
      <c r="HB93" s="43"/>
      <c r="HC93" s="43"/>
      <c r="HD93" s="43"/>
      <c r="HE93" s="43"/>
      <c r="HF93" s="43"/>
      <c r="HG93" s="43"/>
      <c r="HH93" s="43"/>
      <c r="HI93" s="43"/>
      <c r="HJ93" s="43"/>
      <c r="HK93" s="43"/>
      <c r="HL93" s="43"/>
      <c r="HM93" s="43"/>
      <c r="HN93" s="43"/>
      <c r="HO93" s="43"/>
      <c r="HP93" s="43"/>
      <c r="HQ93" s="43"/>
      <c r="HR93" s="43"/>
      <c r="HS93" s="43"/>
      <c r="HT93" s="43"/>
      <c r="HU93" s="43"/>
      <c r="HV93" s="43"/>
      <c r="HW93" s="43"/>
      <c r="HX93" s="43"/>
      <c r="HY93" s="43"/>
      <c r="HZ93" s="43"/>
      <c r="IA93" s="43"/>
      <c r="IB93" s="43"/>
      <c r="IC93" s="43"/>
      <c r="ID93" s="43"/>
      <c r="IE93" s="43"/>
      <c r="IF93" s="43"/>
      <c r="IG93" s="43"/>
      <c r="IH93" s="43"/>
      <c r="II93" s="43"/>
      <c r="IJ93" s="43"/>
      <c r="IK93" s="43"/>
      <c r="IL93" s="43"/>
      <c r="IM93" s="43"/>
      <c r="IN93" s="43"/>
      <c r="IO93" s="43"/>
      <c r="IP93" s="43"/>
      <c r="IQ93" s="43"/>
      <c r="IR93" s="43"/>
      <c r="IS93" s="43"/>
      <c r="IT93" s="43"/>
      <c r="IU93" s="43"/>
      <c r="IV93" s="43"/>
    </row>
    <row r="94" spans="1:256" s="29" customFormat="1" x14ac:dyDescent="0.3">
      <c r="A94" s="33" t="s">
        <v>24</v>
      </c>
      <c r="B94" s="123" t="s">
        <v>89</v>
      </c>
      <c r="C94" s="43">
        <v>0</v>
      </c>
      <c r="D94" s="43">
        <v>0</v>
      </c>
      <c r="E94" s="43">
        <v>1200</v>
      </c>
      <c r="F94" s="43">
        <v>0</v>
      </c>
      <c r="G94" s="43">
        <v>0</v>
      </c>
      <c r="H94" s="43">
        <v>0</v>
      </c>
      <c r="I94" s="43">
        <v>0</v>
      </c>
      <c r="J94" s="43">
        <v>0</v>
      </c>
      <c r="K94" s="43">
        <v>0</v>
      </c>
      <c r="L94" s="43">
        <v>0</v>
      </c>
      <c r="M94" s="43">
        <v>0</v>
      </c>
      <c r="N94" s="43">
        <v>0</v>
      </c>
      <c r="O94" s="43">
        <v>0</v>
      </c>
      <c r="P94" s="43">
        <v>0</v>
      </c>
      <c r="Q94" s="43">
        <v>0</v>
      </c>
      <c r="R94" s="43">
        <v>0</v>
      </c>
      <c r="S94" s="43">
        <v>189676.13</v>
      </c>
      <c r="T94" s="43">
        <v>399718.66</v>
      </c>
      <c r="U94" s="43">
        <v>375717.68</v>
      </c>
      <c r="V94" s="43">
        <v>412707.44999999995</v>
      </c>
      <c r="W94" s="43">
        <v>536761.603</v>
      </c>
      <c r="X94" s="43">
        <v>593233.71900000004</v>
      </c>
      <c r="Y94" s="43">
        <v>455418.91000000003</v>
      </c>
      <c r="Z94" s="43">
        <v>255512.31099999999</v>
      </c>
      <c r="AA94" s="43">
        <v>381454.95199999999</v>
      </c>
      <c r="AB94" s="43">
        <v>314551.58200000005</v>
      </c>
      <c r="AC94" s="43">
        <v>322336.63600000006</v>
      </c>
      <c r="AD94" s="43"/>
      <c r="AE94" s="43"/>
      <c r="AF94" s="43"/>
      <c r="AG94" s="43"/>
      <c r="AH94" s="43"/>
      <c r="AI94" s="43"/>
      <c r="AJ94" s="43"/>
      <c r="AK94" s="43"/>
      <c r="AL94" s="43"/>
      <c r="AM94" s="43"/>
      <c r="AN94" s="43"/>
      <c r="AO94" s="43"/>
      <c r="AP94" s="43"/>
      <c r="AQ94" s="43"/>
      <c r="AR94" s="43"/>
      <c r="AS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  <c r="BF94" s="43"/>
      <c r="BG94" s="43"/>
      <c r="BH94" s="43"/>
      <c r="BI94" s="43"/>
      <c r="BJ94" s="43"/>
      <c r="BK94" s="43"/>
      <c r="BL94" s="43"/>
      <c r="BM94" s="43"/>
      <c r="BN94" s="43"/>
      <c r="BO94" s="43"/>
      <c r="BP94" s="43"/>
      <c r="BQ94" s="43"/>
      <c r="BR94" s="43"/>
      <c r="BS94" s="43"/>
      <c r="BT94" s="43"/>
      <c r="BU94" s="43"/>
      <c r="BV94" s="43"/>
      <c r="BW94" s="43"/>
      <c r="BX94" s="43"/>
      <c r="BY94" s="43"/>
      <c r="BZ94" s="43"/>
      <c r="CA94" s="43"/>
      <c r="CB94" s="43"/>
      <c r="CC94" s="43"/>
      <c r="CD94" s="43"/>
      <c r="CE94" s="43"/>
      <c r="CF94" s="43"/>
      <c r="CG94" s="43"/>
      <c r="CH94" s="43"/>
      <c r="CI94" s="43"/>
      <c r="CJ94" s="43"/>
      <c r="CK94" s="43"/>
      <c r="CL94" s="43"/>
      <c r="CM94" s="43"/>
      <c r="CN94" s="43"/>
      <c r="CO94" s="43"/>
      <c r="CP94" s="43"/>
      <c r="CQ94" s="43"/>
      <c r="CR94" s="43"/>
      <c r="CS94" s="43"/>
      <c r="CT94" s="43"/>
      <c r="CU94" s="43"/>
      <c r="CV94" s="43"/>
      <c r="CW94" s="43"/>
      <c r="CX94" s="43"/>
      <c r="CY94" s="43"/>
      <c r="CZ94" s="43"/>
      <c r="DA94" s="43"/>
      <c r="DB94" s="43"/>
      <c r="DC94" s="43"/>
      <c r="DD94" s="43"/>
      <c r="DE94" s="43"/>
      <c r="DF94" s="43"/>
      <c r="DG94" s="43"/>
      <c r="DH94" s="43"/>
      <c r="DI94" s="43"/>
      <c r="DJ94" s="43"/>
      <c r="DK94" s="43"/>
      <c r="DL94" s="43"/>
      <c r="DM94" s="43"/>
      <c r="DN94" s="43"/>
      <c r="DO94" s="43"/>
      <c r="DP94" s="43"/>
      <c r="DQ94" s="43"/>
      <c r="DR94" s="43"/>
      <c r="DS94" s="43"/>
      <c r="DT94" s="43"/>
      <c r="DU94" s="43"/>
      <c r="DV94" s="43"/>
      <c r="DW94" s="43"/>
      <c r="DX94" s="43"/>
      <c r="DY94" s="43"/>
      <c r="DZ94" s="43"/>
      <c r="EA94" s="43"/>
      <c r="EB94" s="43"/>
      <c r="EC94" s="43"/>
      <c r="ED94" s="43"/>
      <c r="EE94" s="43"/>
      <c r="EF94" s="43"/>
      <c r="EG94" s="43"/>
      <c r="EH94" s="43"/>
      <c r="EI94" s="43"/>
      <c r="EJ94" s="43"/>
      <c r="EK94" s="43"/>
      <c r="EL94" s="43"/>
      <c r="EM94" s="43"/>
      <c r="EN94" s="43"/>
      <c r="EO94" s="43"/>
      <c r="EP94" s="43"/>
      <c r="EQ94" s="43"/>
      <c r="ER94" s="43"/>
      <c r="ES94" s="43"/>
      <c r="ET94" s="43"/>
      <c r="EU94" s="43"/>
      <c r="EV94" s="43"/>
      <c r="EW94" s="43"/>
      <c r="EX94" s="43"/>
      <c r="EY94" s="43"/>
      <c r="EZ94" s="43"/>
      <c r="FA94" s="43"/>
      <c r="FB94" s="43"/>
      <c r="FC94" s="43"/>
      <c r="FD94" s="43"/>
      <c r="FE94" s="43"/>
      <c r="FF94" s="43"/>
      <c r="FG94" s="43"/>
      <c r="FH94" s="43"/>
      <c r="FI94" s="43"/>
      <c r="FJ94" s="43"/>
      <c r="FK94" s="43"/>
      <c r="FL94" s="43"/>
      <c r="FM94" s="43"/>
      <c r="FN94" s="43"/>
      <c r="FO94" s="43"/>
      <c r="FP94" s="43"/>
      <c r="FQ94" s="43"/>
      <c r="FR94" s="43"/>
      <c r="FS94" s="43"/>
      <c r="FT94" s="43"/>
      <c r="FU94" s="43"/>
      <c r="FV94" s="43"/>
      <c r="FW94" s="43"/>
      <c r="FX94" s="43"/>
      <c r="FY94" s="43"/>
      <c r="FZ94" s="43"/>
      <c r="GA94" s="43"/>
      <c r="GB94" s="43"/>
      <c r="GC94" s="43"/>
      <c r="GD94" s="43"/>
      <c r="GE94" s="43"/>
      <c r="GF94" s="43"/>
      <c r="GG94" s="43"/>
      <c r="GH94" s="43"/>
      <c r="GI94" s="43"/>
      <c r="GJ94" s="43"/>
      <c r="GK94" s="43"/>
      <c r="GL94" s="43"/>
      <c r="GM94" s="43"/>
      <c r="GN94" s="43"/>
      <c r="GO94" s="43"/>
      <c r="GP94" s="43"/>
      <c r="GQ94" s="43"/>
      <c r="GR94" s="43"/>
      <c r="GS94" s="43"/>
      <c r="GT94" s="43"/>
      <c r="GU94" s="43"/>
      <c r="GV94" s="43"/>
      <c r="GW94" s="43"/>
      <c r="GX94" s="43"/>
      <c r="GY94" s="43"/>
      <c r="GZ94" s="43"/>
      <c r="HA94" s="43"/>
      <c r="HB94" s="43"/>
      <c r="HC94" s="43"/>
      <c r="HD94" s="43"/>
      <c r="HE94" s="43"/>
      <c r="HF94" s="43"/>
      <c r="HG94" s="43"/>
      <c r="HH94" s="43"/>
      <c r="HI94" s="43"/>
      <c r="HJ94" s="43"/>
      <c r="HK94" s="43"/>
      <c r="HL94" s="43"/>
      <c r="HM94" s="43"/>
      <c r="HN94" s="43"/>
      <c r="HO94" s="43"/>
      <c r="HP94" s="43"/>
      <c r="HQ94" s="43"/>
      <c r="HR94" s="43"/>
      <c r="HS94" s="43"/>
      <c r="HT94" s="43"/>
      <c r="HU94" s="43"/>
      <c r="HV94" s="43"/>
      <c r="HW94" s="43"/>
      <c r="HX94" s="43"/>
      <c r="HY94" s="43"/>
      <c r="HZ94" s="43"/>
      <c r="IA94" s="43"/>
      <c r="IB94" s="43"/>
      <c r="IC94" s="43"/>
      <c r="ID94" s="43"/>
      <c r="IE94" s="43"/>
      <c r="IF94" s="43"/>
      <c r="IG94" s="43"/>
      <c r="IH94" s="43"/>
      <c r="II94" s="43"/>
      <c r="IJ94" s="43"/>
      <c r="IK94" s="43"/>
      <c r="IL94" s="43"/>
      <c r="IM94" s="43"/>
      <c r="IN94" s="43"/>
      <c r="IO94" s="43"/>
      <c r="IP94" s="43"/>
      <c r="IQ94" s="43"/>
      <c r="IR94" s="43"/>
      <c r="IS94" s="43"/>
      <c r="IT94" s="43"/>
      <c r="IU94" s="43"/>
      <c r="IV94" s="43"/>
    </row>
    <row r="95" spans="1:256" s="29" customFormat="1" x14ac:dyDescent="0.3">
      <c r="A95" s="33" t="s">
        <v>14</v>
      </c>
      <c r="B95" s="123" t="s">
        <v>89</v>
      </c>
      <c r="C95" s="43">
        <v>0</v>
      </c>
      <c r="D95" s="43">
        <v>0</v>
      </c>
      <c r="E95" s="43">
        <v>118.42999999999999</v>
      </c>
      <c r="F95" s="43">
        <v>9411.83</v>
      </c>
      <c r="G95" s="43">
        <v>1180.6399999999999</v>
      </c>
      <c r="H95" s="43">
        <v>1410.4</v>
      </c>
      <c r="I95" s="43">
        <v>1786.9399999999996</v>
      </c>
      <c r="J95" s="43">
        <f>SUM('X-Monthly'!CI95:CT95)</f>
        <v>1923.6399999999996</v>
      </c>
      <c r="K95" s="43">
        <f>SUM('X-Monthly'!CU95:DF95)</f>
        <v>660.34</v>
      </c>
      <c r="L95" s="43">
        <f>SUM('X-Monthly'!DG95:DR95)</f>
        <v>2797</v>
      </c>
      <c r="M95" s="43">
        <f>SUM('X-Monthly'!DS95:ED95)</f>
        <v>4293.1099999999997</v>
      </c>
      <c r="N95" s="43">
        <v>4945.4399999999996</v>
      </c>
      <c r="O95" s="43">
        <v>5466.8799999999992</v>
      </c>
      <c r="P95" s="43">
        <v>6676.7300000000014</v>
      </c>
      <c r="Q95" s="43">
        <v>7177.16</v>
      </c>
      <c r="R95" s="43">
        <v>6822.7100000000009</v>
      </c>
      <c r="S95" s="43">
        <v>6298.9599999999991</v>
      </c>
      <c r="T95" s="43">
        <v>6724.8399999999992</v>
      </c>
      <c r="U95" s="43">
        <v>16301.018999999998</v>
      </c>
      <c r="V95" s="43">
        <v>6023.1440000000002</v>
      </c>
      <c r="W95" s="43">
        <v>6478.674</v>
      </c>
      <c r="X95" s="43">
        <v>6047.2418499999994</v>
      </c>
      <c r="Y95" s="43">
        <v>13545.699999999999</v>
      </c>
      <c r="Z95" s="43">
        <v>8891.6290000000008</v>
      </c>
      <c r="AA95" s="43">
        <v>6835.5809999999992</v>
      </c>
      <c r="AB95" s="43">
        <v>7256.2659999999996</v>
      </c>
      <c r="AC95" s="43">
        <v>7190.753999999999</v>
      </c>
      <c r="AD95" s="43"/>
      <c r="AE95" s="43"/>
      <c r="AF95" s="43"/>
      <c r="AG95" s="43"/>
      <c r="AH95" s="43"/>
      <c r="AI95" s="43"/>
      <c r="AJ95" s="43"/>
      <c r="AK95" s="43"/>
      <c r="AL95" s="43"/>
      <c r="AM95" s="43"/>
      <c r="AN95" s="43"/>
      <c r="AO95" s="43"/>
      <c r="AP95" s="43"/>
      <c r="AQ95" s="43"/>
      <c r="AR95" s="43"/>
      <c r="AS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  <c r="BF95" s="43"/>
      <c r="BG95" s="43"/>
      <c r="BH95" s="43"/>
      <c r="BI95" s="43"/>
      <c r="BJ95" s="43"/>
      <c r="BK95" s="43"/>
      <c r="BL95" s="43"/>
      <c r="BM95" s="43"/>
      <c r="BN95" s="43"/>
      <c r="BO95" s="43"/>
      <c r="BP95" s="43"/>
      <c r="BQ95" s="43"/>
      <c r="BR95" s="43"/>
      <c r="BS95" s="43"/>
      <c r="BT95" s="43"/>
      <c r="BU95" s="43"/>
      <c r="BV95" s="43"/>
      <c r="BW95" s="43"/>
      <c r="BX95" s="43"/>
      <c r="BY95" s="43"/>
      <c r="BZ95" s="43"/>
      <c r="CA95" s="43"/>
      <c r="CB95" s="43"/>
      <c r="CC95" s="43"/>
      <c r="CD95" s="43"/>
      <c r="CE95" s="43"/>
      <c r="CF95" s="43"/>
      <c r="CG95" s="43"/>
      <c r="CH95" s="43"/>
      <c r="CI95" s="43"/>
      <c r="CJ95" s="43"/>
      <c r="CK95" s="43"/>
      <c r="CL95" s="43"/>
      <c r="CM95" s="43"/>
      <c r="CN95" s="43"/>
      <c r="CO95" s="43"/>
      <c r="CP95" s="43"/>
      <c r="CQ95" s="43"/>
      <c r="CR95" s="43"/>
      <c r="CS95" s="43"/>
      <c r="CT95" s="43"/>
      <c r="CU95" s="43"/>
      <c r="CV95" s="43"/>
      <c r="CW95" s="43"/>
      <c r="CX95" s="43"/>
      <c r="CY95" s="43"/>
      <c r="CZ95" s="43"/>
      <c r="DA95" s="43"/>
      <c r="DB95" s="43"/>
      <c r="DC95" s="43"/>
      <c r="DD95" s="43"/>
      <c r="DE95" s="43"/>
      <c r="DF95" s="43"/>
      <c r="DG95" s="43"/>
      <c r="DH95" s="43"/>
      <c r="DI95" s="43"/>
      <c r="DJ95" s="43"/>
      <c r="DK95" s="43"/>
      <c r="DL95" s="43"/>
      <c r="DM95" s="43"/>
      <c r="DN95" s="43"/>
      <c r="DO95" s="43"/>
      <c r="DP95" s="43"/>
      <c r="DQ95" s="43"/>
      <c r="DR95" s="43"/>
      <c r="DS95" s="43"/>
      <c r="DT95" s="43"/>
      <c r="DU95" s="43"/>
      <c r="DV95" s="43"/>
      <c r="DW95" s="43"/>
      <c r="DX95" s="43"/>
      <c r="DY95" s="43"/>
      <c r="DZ95" s="43"/>
      <c r="EA95" s="43"/>
      <c r="EB95" s="43"/>
      <c r="EC95" s="43"/>
      <c r="ED95" s="43"/>
      <c r="EE95" s="43"/>
      <c r="EF95" s="43"/>
      <c r="EG95" s="43"/>
      <c r="EH95" s="43"/>
      <c r="EI95" s="43"/>
      <c r="EJ95" s="43"/>
      <c r="EK95" s="43"/>
      <c r="EL95" s="43"/>
      <c r="EM95" s="43"/>
      <c r="EN95" s="43"/>
      <c r="EO95" s="43"/>
      <c r="EP95" s="43"/>
      <c r="EQ95" s="43"/>
      <c r="ER95" s="43"/>
      <c r="ES95" s="43"/>
      <c r="ET95" s="43"/>
      <c r="EU95" s="43"/>
      <c r="EV95" s="43"/>
      <c r="EW95" s="43"/>
      <c r="EX95" s="43"/>
      <c r="EY95" s="43"/>
      <c r="EZ95" s="43"/>
      <c r="FA95" s="43"/>
      <c r="FB95" s="43"/>
      <c r="FC95" s="43"/>
      <c r="FD95" s="43"/>
      <c r="FE95" s="43"/>
      <c r="FF95" s="43"/>
      <c r="FG95" s="43"/>
      <c r="FH95" s="43"/>
      <c r="FI95" s="43"/>
      <c r="FJ95" s="43"/>
      <c r="FK95" s="43"/>
      <c r="FL95" s="43"/>
      <c r="FM95" s="43"/>
      <c r="FN95" s="43"/>
      <c r="FO95" s="43"/>
      <c r="FP95" s="43"/>
      <c r="FQ95" s="43"/>
      <c r="FR95" s="43"/>
      <c r="FS95" s="43"/>
      <c r="FT95" s="43"/>
      <c r="FU95" s="43"/>
      <c r="FV95" s="43"/>
      <c r="FW95" s="43"/>
      <c r="FX95" s="43"/>
      <c r="FY95" s="43"/>
      <c r="FZ95" s="43"/>
      <c r="GA95" s="43"/>
      <c r="GB95" s="43"/>
      <c r="GC95" s="43"/>
      <c r="GD95" s="43"/>
      <c r="GE95" s="43"/>
      <c r="GF95" s="43"/>
      <c r="GG95" s="43"/>
      <c r="GH95" s="43"/>
      <c r="GI95" s="43"/>
      <c r="GJ95" s="43"/>
      <c r="GK95" s="43"/>
      <c r="GL95" s="43"/>
      <c r="GM95" s="43"/>
      <c r="GN95" s="43"/>
      <c r="GO95" s="43"/>
      <c r="GP95" s="43"/>
      <c r="GQ95" s="43"/>
      <c r="GR95" s="43"/>
      <c r="GS95" s="43"/>
      <c r="GT95" s="43"/>
      <c r="GU95" s="43"/>
      <c r="GV95" s="43"/>
      <c r="GW95" s="43"/>
      <c r="GX95" s="43"/>
      <c r="GY95" s="43"/>
      <c r="GZ95" s="43"/>
      <c r="HA95" s="43"/>
      <c r="HB95" s="43"/>
      <c r="HC95" s="43"/>
      <c r="HD95" s="43"/>
      <c r="HE95" s="43"/>
      <c r="HF95" s="43"/>
      <c r="HG95" s="43"/>
      <c r="HH95" s="43"/>
      <c r="HI95" s="43"/>
      <c r="HJ95" s="43"/>
      <c r="HK95" s="43"/>
      <c r="HL95" s="43"/>
      <c r="HM95" s="43"/>
      <c r="HN95" s="43"/>
      <c r="HO95" s="43"/>
      <c r="HP95" s="43"/>
      <c r="HQ95" s="43"/>
      <c r="HR95" s="43"/>
      <c r="HS95" s="43"/>
      <c r="HT95" s="43"/>
      <c r="HU95" s="43"/>
      <c r="HV95" s="43"/>
      <c r="HW95" s="43"/>
      <c r="HX95" s="43"/>
      <c r="HY95" s="43"/>
      <c r="HZ95" s="43"/>
      <c r="IA95" s="43"/>
      <c r="IB95" s="43"/>
      <c r="IC95" s="43"/>
      <c r="ID95" s="43"/>
      <c r="IE95" s="43"/>
      <c r="IF95" s="43"/>
      <c r="IG95" s="43"/>
      <c r="IH95" s="43"/>
      <c r="II95" s="43"/>
      <c r="IJ95" s="43"/>
      <c r="IK95" s="43"/>
      <c r="IL95" s="43"/>
      <c r="IM95" s="43"/>
      <c r="IN95" s="43"/>
      <c r="IO95" s="43"/>
      <c r="IP95" s="43"/>
      <c r="IQ95" s="43"/>
      <c r="IR95" s="43"/>
      <c r="IS95" s="43"/>
      <c r="IT95" s="43"/>
      <c r="IU95" s="43"/>
      <c r="IV95" s="43"/>
    </row>
    <row r="96" spans="1:256" s="29" customFormat="1" x14ac:dyDescent="0.3">
      <c r="A96" s="33" t="s">
        <v>25</v>
      </c>
      <c r="B96" s="123" t="s">
        <v>89</v>
      </c>
      <c r="C96" s="43">
        <v>0</v>
      </c>
      <c r="D96" s="43">
        <v>0</v>
      </c>
      <c r="E96" s="43">
        <v>163.52000000000001</v>
      </c>
      <c r="F96" s="43">
        <v>700.16</v>
      </c>
      <c r="G96" s="43">
        <v>1165.6699999999998</v>
      </c>
      <c r="H96" s="43">
        <v>1266.0300000000002</v>
      </c>
      <c r="I96" s="43">
        <v>1323.9770000000001</v>
      </c>
      <c r="J96" s="43">
        <f>SUM('X-Monthly'!CI96:CT96)</f>
        <v>2323.6499999999996</v>
      </c>
      <c r="K96" s="43">
        <f>SUM('X-Monthly'!CU96:DF96)</f>
        <v>1832.5500000000002</v>
      </c>
      <c r="L96" s="43">
        <f>SUM('X-Monthly'!DG96:DR96)</f>
        <v>1913.8899999999996</v>
      </c>
      <c r="M96" s="43">
        <f>SUM('X-Monthly'!DS96:ED96)</f>
        <v>2091.6</v>
      </c>
      <c r="N96" s="43">
        <v>3800.8</v>
      </c>
      <c r="O96" s="43">
        <v>5704.3899999999994</v>
      </c>
      <c r="P96" s="43">
        <v>6297.99</v>
      </c>
      <c r="Q96" s="43">
        <v>6003.35</v>
      </c>
      <c r="R96" s="43">
        <v>10006.27</v>
      </c>
      <c r="S96" s="43">
        <v>8558.0399999999991</v>
      </c>
      <c r="T96" s="43">
        <v>11151.839999999998</v>
      </c>
      <c r="U96" s="43">
        <v>16094.264999999999</v>
      </c>
      <c r="V96" s="43">
        <v>17992.54</v>
      </c>
      <c r="W96" s="43">
        <v>17720.460000000003</v>
      </c>
      <c r="X96" s="43">
        <v>23803.415000000001</v>
      </c>
      <c r="Y96" s="43">
        <v>26959.39</v>
      </c>
      <c r="Z96" s="43">
        <v>23348.299000000003</v>
      </c>
      <c r="AA96" s="43">
        <v>30204.016999999996</v>
      </c>
      <c r="AB96" s="43">
        <v>26671.682999999997</v>
      </c>
      <c r="AC96" s="43">
        <v>29683.156999999999</v>
      </c>
      <c r="AD96" s="43"/>
      <c r="AE96" s="43"/>
      <c r="AF96" s="43"/>
      <c r="AG96" s="43"/>
      <c r="AH96" s="43"/>
      <c r="AI96" s="43"/>
      <c r="AJ96" s="43"/>
      <c r="AK96" s="43"/>
      <c r="AL96" s="43"/>
      <c r="AM96" s="43"/>
      <c r="AN96" s="43"/>
      <c r="AO96" s="43"/>
      <c r="AP96" s="43"/>
      <c r="AQ96" s="43"/>
      <c r="AR96" s="43"/>
      <c r="AS96" s="4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  <c r="BF96" s="43"/>
      <c r="BG96" s="43"/>
      <c r="BH96" s="43"/>
      <c r="BI96" s="43"/>
      <c r="BJ96" s="43"/>
      <c r="BK96" s="43"/>
      <c r="BL96" s="43"/>
      <c r="BM96" s="43"/>
      <c r="BN96" s="43"/>
      <c r="BO96" s="43"/>
      <c r="BP96" s="43"/>
      <c r="BQ96" s="43"/>
      <c r="BR96" s="43"/>
      <c r="BS96" s="43"/>
      <c r="BT96" s="43"/>
      <c r="BU96" s="43"/>
      <c r="BV96" s="43"/>
      <c r="BW96" s="43"/>
      <c r="BX96" s="43"/>
      <c r="BY96" s="43"/>
      <c r="BZ96" s="43"/>
      <c r="CA96" s="43"/>
      <c r="CB96" s="43"/>
      <c r="CC96" s="43"/>
      <c r="CD96" s="43"/>
      <c r="CE96" s="43"/>
      <c r="CF96" s="43"/>
      <c r="CG96" s="43"/>
      <c r="CH96" s="43"/>
      <c r="CI96" s="43"/>
      <c r="CJ96" s="43"/>
      <c r="CK96" s="43"/>
      <c r="CL96" s="43"/>
      <c r="CM96" s="43"/>
      <c r="CN96" s="43"/>
      <c r="CO96" s="43"/>
      <c r="CP96" s="43"/>
      <c r="CQ96" s="43"/>
      <c r="CR96" s="43"/>
      <c r="CS96" s="43"/>
      <c r="CT96" s="43"/>
      <c r="CU96" s="43"/>
      <c r="CV96" s="43"/>
      <c r="CW96" s="43"/>
      <c r="CX96" s="43"/>
      <c r="CY96" s="43"/>
      <c r="CZ96" s="43"/>
      <c r="DA96" s="43"/>
      <c r="DB96" s="43"/>
      <c r="DC96" s="43"/>
      <c r="DD96" s="43"/>
      <c r="DE96" s="43"/>
      <c r="DF96" s="43"/>
      <c r="DG96" s="43"/>
      <c r="DH96" s="43"/>
      <c r="DI96" s="43"/>
      <c r="DJ96" s="43"/>
      <c r="DK96" s="43"/>
      <c r="DL96" s="43"/>
      <c r="DM96" s="43"/>
      <c r="DN96" s="43"/>
      <c r="DO96" s="43"/>
      <c r="DP96" s="43"/>
      <c r="DQ96" s="43"/>
      <c r="DR96" s="43"/>
      <c r="DS96" s="43"/>
      <c r="DT96" s="43"/>
      <c r="DU96" s="43"/>
      <c r="DV96" s="43"/>
      <c r="DW96" s="43"/>
      <c r="DX96" s="43"/>
      <c r="DY96" s="43"/>
      <c r="DZ96" s="43"/>
      <c r="EA96" s="43"/>
      <c r="EB96" s="43"/>
      <c r="EC96" s="43"/>
      <c r="ED96" s="43"/>
      <c r="EE96" s="43"/>
      <c r="EF96" s="43"/>
      <c r="EG96" s="43"/>
      <c r="EH96" s="43"/>
      <c r="EI96" s="43"/>
      <c r="EJ96" s="43"/>
      <c r="EK96" s="43"/>
      <c r="EL96" s="43"/>
      <c r="EM96" s="43"/>
      <c r="EN96" s="43"/>
      <c r="EO96" s="43"/>
      <c r="EP96" s="43"/>
      <c r="EQ96" s="43"/>
      <c r="ER96" s="43"/>
      <c r="ES96" s="43"/>
      <c r="ET96" s="43"/>
      <c r="EU96" s="43"/>
      <c r="EV96" s="43"/>
      <c r="EW96" s="43"/>
      <c r="EX96" s="43"/>
      <c r="EY96" s="43"/>
      <c r="EZ96" s="43"/>
      <c r="FA96" s="43"/>
      <c r="FB96" s="43"/>
      <c r="FC96" s="43"/>
      <c r="FD96" s="43"/>
      <c r="FE96" s="43"/>
      <c r="FF96" s="43"/>
      <c r="FG96" s="43"/>
      <c r="FH96" s="43"/>
      <c r="FI96" s="43"/>
      <c r="FJ96" s="43"/>
      <c r="FK96" s="43"/>
      <c r="FL96" s="43"/>
      <c r="FM96" s="43"/>
      <c r="FN96" s="43"/>
      <c r="FO96" s="43"/>
      <c r="FP96" s="43"/>
      <c r="FQ96" s="43"/>
      <c r="FR96" s="43"/>
      <c r="FS96" s="43"/>
      <c r="FT96" s="43"/>
      <c r="FU96" s="43"/>
      <c r="FV96" s="43"/>
      <c r="FW96" s="43"/>
      <c r="FX96" s="43"/>
      <c r="FY96" s="43"/>
      <c r="FZ96" s="43"/>
      <c r="GA96" s="43"/>
      <c r="GB96" s="43"/>
      <c r="GC96" s="43"/>
      <c r="GD96" s="43"/>
      <c r="GE96" s="43"/>
      <c r="GF96" s="43"/>
      <c r="GG96" s="43"/>
      <c r="GH96" s="43"/>
      <c r="GI96" s="43"/>
      <c r="GJ96" s="43"/>
      <c r="GK96" s="43"/>
      <c r="GL96" s="43"/>
      <c r="GM96" s="43"/>
      <c r="GN96" s="43"/>
      <c r="GO96" s="43"/>
      <c r="GP96" s="43"/>
      <c r="GQ96" s="43"/>
      <c r="GR96" s="43"/>
      <c r="GS96" s="43"/>
      <c r="GT96" s="43"/>
      <c r="GU96" s="43"/>
      <c r="GV96" s="43"/>
      <c r="GW96" s="43"/>
      <c r="GX96" s="43"/>
      <c r="GY96" s="43"/>
      <c r="GZ96" s="43"/>
      <c r="HA96" s="43"/>
      <c r="HB96" s="43"/>
      <c r="HC96" s="43"/>
      <c r="HD96" s="43"/>
      <c r="HE96" s="43"/>
      <c r="HF96" s="43"/>
      <c r="HG96" s="43"/>
      <c r="HH96" s="43"/>
      <c r="HI96" s="43"/>
      <c r="HJ96" s="43"/>
      <c r="HK96" s="43"/>
      <c r="HL96" s="43"/>
      <c r="HM96" s="43"/>
      <c r="HN96" s="43"/>
      <c r="HO96" s="43"/>
      <c r="HP96" s="43"/>
      <c r="HQ96" s="43"/>
      <c r="HR96" s="43"/>
      <c r="HS96" s="43"/>
      <c r="HT96" s="43"/>
      <c r="HU96" s="43"/>
      <c r="HV96" s="43"/>
      <c r="HW96" s="43"/>
      <c r="HX96" s="43"/>
      <c r="HY96" s="43"/>
      <c r="HZ96" s="43"/>
      <c r="IA96" s="43"/>
      <c r="IB96" s="43"/>
      <c r="IC96" s="43"/>
      <c r="ID96" s="43"/>
      <c r="IE96" s="43"/>
      <c r="IF96" s="43"/>
      <c r="IG96" s="43"/>
      <c r="IH96" s="43"/>
      <c r="II96" s="43"/>
      <c r="IJ96" s="43"/>
      <c r="IK96" s="43"/>
      <c r="IL96" s="43"/>
      <c r="IM96" s="43"/>
      <c r="IN96" s="43"/>
      <c r="IO96" s="43"/>
      <c r="IP96" s="43"/>
      <c r="IQ96" s="43"/>
      <c r="IR96" s="43"/>
      <c r="IS96" s="43"/>
      <c r="IT96" s="43"/>
      <c r="IU96" s="43"/>
      <c r="IV96" s="43"/>
    </row>
    <row r="97" spans="1:256" s="29" customFormat="1" x14ac:dyDescent="0.3">
      <c r="A97" s="33" t="s">
        <v>36</v>
      </c>
      <c r="B97" s="123" t="s">
        <v>89</v>
      </c>
      <c r="C97" s="43">
        <v>0</v>
      </c>
      <c r="D97" s="43">
        <v>0</v>
      </c>
      <c r="E97" s="43">
        <v>0</v>
      </c>
      <c r="F97" s="43">
        <v>0</v>
      </c>
      <c r="G97" s="43">
        <v>0</v>
      </c>
      <c r="H97" s="43">
        <v>0</v>
      </c>
      <c r="I97" s="43">
        <v>0</v>
      </c>
      <c r="J97" s="43">
        <v>0</v>
      </c>
      <c r="K97" s="43">
        <v>0</v>
      </c>
      <c r="L97" s="43">
        <v>0</v>
      </c>
      <c r="M97" s="43">
        <v>0</v>
      </c>
      <c r="N97" s="43">
        <v>0</v>
      </c>
      <c r="O97" s="43">
        <v>0</v>
      </c>
      <c r="P97" s="43">
        <v>0</v>
      </c>
      <c r="Q97" s="43">
        <v>0</v>
      </c>
      <c r="R97" s="43">
        <v>0</v>
      </c>
      <c r="S97" s="43">
        <v>76150.44</v>
      </c>
      <c r="T97" s="43">
        <v>87456.89</v>
      </c>
      <c r="U97" s="43">
        <v>92394.735000000001</v>
      </c>
      <c r="V97" s="43">
        <v>104801.54999999999</v>
      </c>
      <c r="W97" s="43">
        <v>124223.795</v>
      </c>
      <c r="X97" s="43">
        <v>138703.76065000001</v>
      </c>
      <c r="Y97" s="43">
        <v>112958.98470000002</v>
      </c>
      <c r="Z97" s="43">
        <v>114909.93100000001</v>
      </c>
      <c r="AA97" s="43">
        <v>114250.845</v>
      </c>
      <c r="AB97" s="43">
        <v>175205.50700000001</v>
      </c>
      <c r="AC97" s="43">
        <v>128725.575</v>
      </c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43"/>
      <c r="AS97" s="4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  <c r="BF97" s="43"/>
      <c r="BG97" s="43"/>
      <c r="BH97" s="43"/>
      <c r="BI97" s="43"/>
      <c r="BJ97" s="43"/>
      <c r="BK97" s="43"/>
      <c r="BL97" s="43"/>
      <c r="BM97" s="43"/>
      <c r="BN97" s="43"/>
      <c r="BO97" s="43"/>
      <c r="BP97" s="43"/>
      <c r="BQ97" s="43"/>
      <c r="BR97" s="43"/>
      <c r="BS97" s="43"/>
      <c r="BT97" s="43"/>
      <c r="BU97" s="43"/>
      <c r="BV97" s="43"/>
      <c r="BW97" s="43"/>
      <c r="BX97" s="43"/>
      <c r="BY97" s="43"/>
      <c r="BZ97" s="43"/>
      <c r="CA97" s="43"/>
      <c r="CB97" s="43"/>
      <c r="CC97" s="43"/>
      <c r="CD97" s="43"/>
      <c r="CE97" s="43"/>
      <c r="CF97" s="43"/>
      <c r="CG97" s="43"/>
      <c r="CH97" s="43"/>
      <c r="CI97" s="43"/>
      <c r="CJ97" s="43"/>
      <c r="CK97" s="43"/>
      <c r="CL97" s="43"/>
      <c r="CM97" s="43"/>
      <c r="CN97" s="43"/>
      <c r="CO97" s="43"/>
      <c r="CP97" s="43"/>
      <c r="CQ97" s="43"/>
      <c r="CR97" s="43"/>
      <c r="CS97" s="43"/>
      <c r="CT97" s="43"/>
      <c r="CU97" s="43"/>
      <c r="CV97" s="43"/>
      <c r="CW97" s="43"/>
      <c r="CX97" s="43"/>
      <c r="CY97" s="43"/>
      <c r="CZ97" s="43"/>
      <c r="DA97" s="43"/>
      <c r="DB97" s="43"/>
      <c r="DC97" s="43"/>
      <c r="DD97" s="43"/>
      <c r="DE97" s="43"/>
      <c r="DF97" s="43"/>
      <c r="DG97" s="43"/>
      <c r="DH97" s="43"/>
      <c r="DI97" s="43"/>
      <c r="DJ97" s="43"/>
      <c r="DK97" s="43"/>
      <c r="DL97" s="43"/>
      <c r="DM97" s="43"/>
      <c r="DN97" s="43"/>
      <c r="DO97" s="43"/>
      <c r="DP97" s="43"/>
      <c r="DQ97" s="43"/>
      <c r="DR97" s="43"/>
      <c r="DS97" s="43"/>
      <c r="DT97" s="43"/>
      <c r="DU97" s="43"/>
      <c r="DV97" s="43"/>
      <c r="DW97" s="43"/>
      <c r="DX97" s="43"/>
      <c r="DY97" s="43"/>
      <c r="DZ97" s="43"/>
      <c r="EA97" s="43"/>
      <c r="EB97" s="43"/>
      <c r="EC97" s="43"/>
      <c r="ED97" s="43"/>
      <c r="EE97" s="43"/>
      <c r="EF97" s="43"/>
      <c r="EG97" s="43"/>
      <c r="EH97" s="43"/>
      <c r="EI97" s="43"/>
      <c r="EJ97" s="43"/>
      <c r="EK97" s="43"/>
      <c r="EL97" s="43"/>
      <c r="EM97" s="43"/>
      <c r="EN97" s="43"/>
      <c r="EO97" s="43"/>
      <c r="EP97" s="43"/>
      <c r="EQ97" s="43"/>
      <c r="ER97" s="43"/>
      <c r="ES97" s="43"/>
      <c r="ET97" s="43"/>
      <c r="EU97" s="43"/>
      <c r="EV97" s="43"/>
      <c r="EW97" s="43"/>
      <c r="EX97" s="43"/>
      <c r="EY97" s="43"/>
      <c r="EZ97" s="43"/>
      <c r="FA97" s="43"/>
      <c r="FB97" s="43"/>
      <c r="FC97" s="43"/>
      <c r="FD97" s="43"/>
      <c r="FE97" s="43"/>
      <c r="FF97" s="43"/>
      <c r="FG97" s="43"/>
      <c r="FH97" s="43"/>
      <c r="FI97" s="43"/>
      <c r="FJ97" s="43"/>
      <c r="FK97" s="43"/>
      <c r="FL97" s="43"/>
      <c r="FM97" s="43"/>
      <c r="FN97" s="43"/>
      <c r="FO97" s="43"/>
      <c r="FP97" s="43"/>
      <c r="FQ97" s="43"/>
      <c r="FR97" s="43"/>
      <c r="FS97" s="43"/>
      <c r="FT97" s="43"/>
      <c r="FU97" s="43"/>
      <c r="FV97" s="43"/>
      <c r="FW97" s="43"/>
      <c r="FX97" s="43"/>
      <c r="FY97" s="43"/>
      <c r="FZ97" s="43"/>
      <c r="GA97" s="43"/>
      <c r="GB97" s="43"/>
      <c r="GC97" s="43"/>
      <c r="GD97" s="43"/>
      <c r="GE97" s="43"/>
      <c r="GF97" s="43"/>
      <c r="GG97" s="43"/>
      <c r="GH97" s="43"/>
      <c r="GI97" s="43"/>
      <c r="GJ97" s="43"/>
      <c r="GK97" s="43"/>
      <c r="GL97" s="43"/>
      <c r="GM97" s="43"/>
      <c r="GN97" s="43"/>
      <c r="GO97" s="43"/>
      <c r="GP97" s="43"/>
      <c r="GQ97" s="43"/>
      <c r="GR97" s="43"/>
      <c r="GS97" s="43"/>
      <c r="GT97" s="43"/>
      <c r="GU97" s="43"/>
      <c r="GV97" s="43"/>
      <c r="GW97" s="43"/>
      <c r="GX97" s="43"/>
      <c r="GY97" s="43"/>
      <c r="GZ97" s="43"/>
      <c r="HA97" s="43"/>
      <c r="HB97" s="43"/>
      <c r="HC97" s="43"/>
      <c r="HD97" s="43"/>
      <c r="HE97" s="43"/>
      <c r="HF97" s="43"/>
      <c r="HG97" s="43"/>
      <c r="HH97" s="43"/>
      <c r="HI97" s="43"/>
      <c r="HJ97" s="43"/>
      <c r="HK97" s="43"/>
      <c r="HL97" s="43"/>
      <c r="HM97" s="43"/>
      <c r="HN97" s="43"/>
      <c r="HO97" s="43"/>
      <c r="HP97" s="43"/>
      <c r="HQ97" s="43"/>
      <c r="HR97" s="43"/>
      <c r="HS97" s="43"/>
      <c r="HT97" s="43"/>
      <c r="HU97" s="43"/>
      <c r="HV97" s="43"/>
      <c r="HW97" s="43"/>
      <c r="HX97" s="43"/>
      <c r="HY97" s="43"/>
      <c r="HZ97" s="43"/>
      <c r="IA97" s="43"/>
      <c r="IB97" s="43"/>
      <c r="IC97" s="43"/>
      <c r="ID97" s="43"/>
      <c r="IE97" s="43"/>
      <c r="IF97" s="43"/>
      <c r="IG97" s="43"/>
      <c r="IH97" s="43"/>
      <c r="II97" s="43"/>
      <c r="IJ97" s="43"/>
      <c r="IK97" s="43"/>
      <c r="IL97" s="43"/>
      <c r="IM97" s="43"/>
      <c r="IN97" s="43"/>
      <c r="IO97" s="43"/>
      <c r="IP97" s="43"/>
      <c r="IQ97" s="43"/>
      <c r="IR97" s="43"/>
      <c r="IS97" s="43"/>
      <c r="IT97" s="43"/>
      <c r="IU97" s="43"/>
      <c r="IV97" s="43"/>
    </row>
    <row r="98" spans="1:256" s="29" customFormat="1" x14ac:dyDescent="0.3">
      <c r="A98" s="33" t="s">
        <v>34</v>
      </c>
      <c r="B98" s="123" t="s">
        <v>89</v>
      </c>
      <c r="C98" s="43">
        <v>0</v>
      </c>
      <c r="D98" s="43">
        <v>0</v>
      </c>
      <c r="E98" s="43">
        <v>0</v>
      </c>
      <c r="F98" s="43">
        <v>0</v>
      </c>
      <c r="G98" s="43">
        <v>0</v>
      </c>
      <c r="H98" s="43">
        <v>0</v>
      </c>
      <c r="I98" s="43">
        <v>0</v>
      </c>
      <c r="J98" s="43">
        <v>0</v>
      </c>
      <c r="K98" s="43">
        <v>0</v>
      </c>
      <c r="L98" s="43">
        <v>0</v>
      </c>
      <c r="M98" s="43">
        <v>0</v>
      </c>
      <c r="N98" s="43">
        <v>0</v>
      </c>
      <c r="O98" s="43">
        <v>0</v>
      </c>
      <c r="P98" s="43">
        <v>0</v>
      </c>
      <c r="Q98" s="43">
        <v>0</v>
      </c>
      <c r="R98" s="43">
        <v>0</v>
      </c>
      <c r="S98" s="43">
        <v>18540.420000000002</v>
      </c>
      <c r="T98" s="43">
        <v>30836.78</v>
      </c>
      <c r="U98" s="43">
        <v>39653.823999999993</v>
      </c>
      <c r="V98" s="43">
        <v>31300.2</v>
      </c>
      <c r="W98" s="43">
        <v>53127.423000000003</v>
      </c>
      <c r="X98" s="43">
        <v>76048.653640000004</v>
      </c>
      <c r="Y98" s="43">
        <v>59004.050999999992</v>
      </c>
      <c r="Z98" s="43">
        <v>53827.284</v>
      </c>
      <c r="AA98" s="43">
        <v>50512.396999999997</v>
      </c>
      <c r="AB98" s="43">
        <v>47095.495999999999</v>
      </c>
      <c r="AC98" s="43">
        <v>57005.941099999996</v>
      </c>
      <c r="AD98" s="43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3"/>
      <c r="AP98" s="43"/>
      <c r="AQ98" s="43"/>
      <c r="AR98" s="43"/>
      <c r="AS98" s="4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  <c r="BF98" s="43"/>
      <c r="BG98" s="43"/>
      <c r="BH98" s="43"/>
      <c r="BI98" s="43"/>
      <c r="BJ98" s="43"/>
      <c r="BK98" s="43"/>
      <c r="BL98" s="43"/>
      <c r="BM98" s="43"/>
      <c r="BN98" s="43"/>
      <c r="BO98" s="43"/>
      <c r="BP98" s="43"/>
      <c r="BQ98" s="43"/>
      <c r="BR98" s="43"/>
      <c r="BS98" s="43"/>
      <c r="BT98" s="43"/>
      <c r="BU98" s="43"/>
      <c r="BV98" s="43"/>
      <c r="BW98" s="43"/>
      <c r="BX98" s="43"/>
      <c r="BY98" s="43"/>
      <c r="BZ98" s="43"/>
      <c r="CA98" s="43"/>
      <c r="CB98" s="43"/>
      <c r="CC98" s="43"/>
      <c r="CD98" s="43"/>
      <c r="CE98" s="43"/>
      <c r="CF98" s="43"/>
      <c r="CG98" s="43"/>
      <c r="CH98" s="43"/>
      <c r="CI98" s="43"/>
      <c r="CJ98" s="43"/>
      <c r="CK98" s="43"/>
      <c r="CL98" s="43"/>
      <c r="CM98" s="43"/>
      <c r="CN98" s="43"/>
      <c r="CO98" s="43"/>
      <c r="CP98" s="43"/>
      <c r="CQ98" s="43"/>
      <c r="CR98" s="43"/>
      <c r="CS98" s="43"/>
      <c r="CT98" s="43"/>
      <c r="CU98" s="43"/>
      <c r="CV98" s="43"/>
      <c r="CW98" s="43"/>
      <c r="CX98" s="43"/>
      <c r="CY98" s="43"/>
      <c r="CZ98" s="43"/>
      <c r="DA98" s="43"/>
      <c r="DB98" s="43"/>
      <c r="DC98" s="43"/>
      <c r="DD98" s="43"/>
      <c r="DE98" s="43"/>
      <c r="DF98" s="43"/>
      <c r="DG98" s="43"/>
      <c r="DH98" s="43"/>
      <c r="DI98" s="43"/>
      <c r="DJ98" s="43"/>
      <c r="DK98" s="43"/>
      <c r="DL98" s="43"/>
      <c r="DM98" s="43"/>
      <c r="DN98" s="43"/>
      <c r="DO98" s="43"/>
      <c r="DP98" s="43"/>
      <c r="DQ98" s="43"/>
      <c r="DR98" s="43"/>
      <c r="DS98" s="43"/>
      <c r="DT98" s="43"/>
      <c r="DU98" s="43"/>
      <c r="DV98" s="43"/>
      <c r="DW98" s="43"/>
      <c r="DX98" s="43"/>
      <c r="DY98" s="43"/>
      <c r="DZ98" s="43"/>
      <c r="EA98" s="43"/>
      <c r="EB98" s="43"/>
      <c r="EC98" s="43"/>
      <c r="ED98" s="43"/>
      <c r="EE98" s="43"/>
      <c r="EF98" s="43"/>
      <c r="EG98" s="43"/>
      <c r="EH98" s="43"/>
      <c r="EI98" s="43"/>
      <c r="EJ98" s="43"/>
      <c r="EK98" s="43"/>
      <c r="EL98" s="43"/>
      <c r="EM98" s="43"/>
      <c r="EN98" s="43"/>
      <c r="EO98" s="43"/>
      <c r="EP98" s="43"/>
      <c r="EQ98" s="43"/>
      <c r="ER98" s="43"/>
      <c r="ES98" s="43"/>
      <c r="ET98" s="43"/>
      <c r="EU98" s="43"/>
      <c r="EV98" s="43"/>
      <c r="EW98" s="43"/>
      <c r="EX98" s="43"/>
      <c r="EY98" s="43"/>
      <c r="EZ98" s="43"/>
      <c r="FA98" s="43"/>
      <c r="FB98" s="43"/>
      <c r="FC98" s="43"/>
      <c r="FD98" s="43"/>
      <c r="FE98" s="43"/>
      <c r="FF98" s="43"/>
      <c r="FG98" s="43"/>
      <c r="FH98" s="43"/>
      <c r="FI98" s="43"/>
      <c r="FJ98" s="43"/>
      <c r="FK98" s="43"/>
      <c r="FL98" s="43"/>
      <c r="FM98" s="43"/>
      <c r="FN98" s="43"/>
      <c r="FO98" s="43"/>
      <c r="FP98" s="43"/>
      <c r="FQ98" s="43"/>
      <c r="FR98" s="43"/>
      <c r="FS98" s="43"/>
      <c r="FT98" s="43"/>
      <c r="FU98" s="43"/>
      <c r="FV98" s="43"/>
      <c r="FW98" s="43"/>
      <c r="FX98" s="43"/>
      <c r="FY98" s="43"/>
      <c r="FZ98" s="43"/>
      <c r="GA98" s="43"/>
      <c r="GB98" s="43"/>
      <c r="GC98" s="43"/>
      <c r="GD98" s="43"/>
      <c r="GE98" s="43"/>
      <c r="GF98" s="43"/>
      <c r="GG98" s="43"/>
      <c r="GH98" s="43"/>
      <c r="GI98" s="43"/>
      <c r="GJ98" s="43"/>
      <c r="GK98" s="43"/>
      <c r="GL98" s="43"/>
      <c r="GM98" s="43"/>
      <c r="GN98" s="43"/>
      <c r="GO98" s="43"/>
      <c r="GP98" s="43"/>
      <c r="GQ98" s="43"/>
      <c r="GR98" s="43"/>
      <c r="GS98" s="43"/>
      <c r="GT98" s="43"/>
      <c r="GU98" s="43"/>
      <c r="GV98" s="43"/>
      <c r="GW98" s="43"/>
      <c r="GX98" s="43"/>
      <c r="GY98" s="43"/>
      <c r="GZ98" s="43"/>
      <c r="HA98" s="43"/>
      <c r="HB98" s="43"/>
      <c r="HC98" s="43"/>
      <c r="HD98" s="43"/>
      <c r="HE98" s="43"/>
      <c r="HF98" s="43"/>
      <c r="HG98" s="43"/>
      <c r="HH98" s="43"/>
      <c r="HI98" s="43"/>
      <c r="HJ98" s="43"/>
      <c r="HK98" s="43"/>
      <c r="HL98" s="43"/>
      <c r="HM98" s="43"/>
      <c r="HN98" s="43"/>
      <c r="HO98" s="43"/>
      <c r="HP98" s="43"/>
      <c r="HQ98" s="43"/>
      <c r="HR98" s="43"/>
      <c r="HS98" s="43"/>
      <c r="HT98" s="43"/>
      <c r="HU98" s="43"/>
      <c r="HV98" s="43"/>
      <c r="HW98" s="43"/>
      <c r="HX98" s="43"/>
      <c r="HY98" s="43"/>
      <c r="HZ98" s="43"/>
      <c r="IA98" s="43"/>
      <c r="IB98" s="43"/>
      <c r="IC98" s="43"/>
      <c r="ID98" s="43"/>
      <c r="IE98" s="43"/>
      <c r="IF98" s="43"/>
      <c r="IG98" s="43"/>
      <c r="IH98" s="43"/>
      <c r="II98" s="43"/>
      <c r="IJ98" s="43"/>
      <c r="IK98" s="43"/>
      <c r="IL98" s="43"/>
      <c r="IM98" s="43"/>
      <c r="IN98" s="43"/>
      <c r="IO98" s="43"/>
      <c r="IP98" s="43"/>
      <c r="IQ98" s="43"/>
      <c r="IR98" s="43"/>
      <c r="IS98" s="43"/>
      <c r="IT98" s="43"/>
      <c r="IU98" s="43"/>
      <c r="IV98" s="43"/>
    </row>
    <row r="99" spans="1:256" s="29" customFormat="1" x14ac:dyDescent="0.3">
      <c r="A99" s="48" t="s">
        <v>152</v>
      </c>
      <c r="B99" s="124" t="s">
        <v>151</v>
      </c>
      <c r="C99" s="43">
        <v>0</v>
      </c>
      <c r="D99" s="43">
        <v>0</v>
      </c>
      <c r="E99" s="43">
        <v>0</v>
      </c>
      <c r="F99" s="43">
        <v>29.11</v>
      </c>
      <c r="G99" s="43">
        <v>13.9</v>
      </c>
      <c r="H99" s="43">
        <v>19.599999999999998</v>
      </c>
      <c r="I99" s="43">
        <v>36</v>
      </c>
      <c r="J99" s="43">
        <f>SUM('X-Monthly'!CI99:CT99)</f>
        <v>27.42</v>
      </c>
      <c r="K99" s="43">
        <f>SUM('X-Monthly'!CU99:DF99)</f>
        <v>4</v>
      </c>
      <c r="L99" s="43">
        <f>SUM('X-Monthly'!DG99:DR99)</f>
        <v>106.65</v>
      </c>
      <c r="M99" s="43">
        <f>SUM('X-Monthly'!DS99:ED99)</f>
        <v>138.78900000000002</v>
      </c>
      <c r="N99" s="43">
        <v>68.869</v>
      </c>
      <c r="O99" s="43">
        <v>5373.82</v>
      </c>
      <c r="P99" s="43">
        <v>82299.329999999987</v>
      </c>
      <c r="Q99" s="43">
        <v>318101</v>
      </c>
      <c r="R99" s="43">
        <v>313255.29000000004</v>
      </c>
      <c r="S99" s="43">
        <v>257266.62</v>
      </c>
      <c r="T99" s="43">
        <v>170485</v>
      </c>
      <c r="U99" s="43">
        <v>271616</v>
      </c>
      <c r="V99" s="43">
        <v>160122.65</v>
      </c>
      <c r="W99" s="43">
        <v>146862.1</v>
      </c>
      <c r="X99" s="43">
        <v>0</v>
      </c>
      <c r="Y99" s="43">
        <v>5322</v>
      </c>
      <c r="Z99" s="43">
        <v>64272</v>
      </c>
      <c r="AA99" s="43">
        <v>50660</v>
      </c>
      <c r="AB99" s="43">
        <v>23691</v>
      </c>
      <c r="AC99" s="43">
        <v>22149</v>
      </c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43"/>
      <c r="AS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  <c r="BF99" s="43"/>
      <c r="BG99" s="43"/>
      <c r="BH99" s="43"/>
      <c r="BI99" s="43"/>
      <c r="BJ99" s="43"/>
      <c r="BK99" s="43"/>
      <c r="BL99" s="43"/>
      <c r="BM99" s="43"/>
      <c r="BN99" s="43"/>
      <c r="BO99" s="43"/>
      <c r="BP99" s="43"/>
      <c r="BQ99" s="43"/>
      <c r="BR99" s="43"/>
      <c r="BS99" s="43"/>
      <c r="BT99" s="43"/>
      <c r="BU99" s="43"/>
      <c r="BV99" s="43"/>
      <c r="BW99" s="43"/>
      <c r="BX99" s="43"/>
      <c r="BY99" s="43"/>
      <c r="BZ99" s="43"/>
      <c r="CA99" s="43"/>
      <c r="CB99" s="43"/>
      <c r="CC99" s="43"/>
      <c r="CD99" s="43"/>
      <c r="CE99" s="43"/>
      <c r="CF99" s="43"/>
      <c r="CG99" s="43"/>
      <c r="CH99" s="43"/>
      <c r="CI99" s="43"/>
      <c r="CJ99" s="43"/>
      <c r="CK99" s="43"/>
      <c r="CL99" s="43"/>
      <c r="CM99" s="43"/>
      <c r="CN99" s="43"/>
      <c r="CO99" s="43"/>
      <c r="CP99" s="43"/>
      <c r="CQ99" s="43"/>
      <c r="CR99" s="43"/>
      <c r="CS99" s="43"/>
      <c r="CT99" s="43"/>
      <c r="CU99" s="43"/>
      <c r="CV99" s="43"/>
      <c r="CW99" s="43"/>
      <c r="CX99" s="43"/>
      <c r="CY99" s="43"/>
      <c r="CZ99" s="43"/>
      <c r="DA99" s="43"/>
      <c r="DB99" s="43"/>
      <c r="DC99" s="43"/>
      <c r="DD99" s="43"/>
      <c r="DE99" s="43"/>
      <c r="DF99" s="43"/>
      <c r="DG99" s="43"/>
      <c r="DH99" s="43"/>
      <c r="DI99" s="43"/>
      <c r="DJ99" s="43"/>
      <c r="DK99" s="43"/>
      <c r="DL99" s="43"/>
      <c r="DM99" s="43"/>
      <c r="DN99" s="43"/>
      <c r="DO99" s="43"/>
      <c r="DP99" s="43"/>
      <c r="DQ99" s="43"/>
      <c r="DR99" s="43"/>
      <c r="DS99" s="43"/>
      <c r="DT99" s="43"/>
      <c r="DU99" s="43"/>
      <c r="DV99" s="43"/>
      <c r="DW99" s="43"/>
      <c r="DX99" s="43"/>
      <c r="DY99" s="43"/>
      <c r="DZ99" s="43"/>
      <c r="EA99" s="43"/>
      <c r="EB99" s="43"/>
      <c r="EC99" s="43"/>
      <c r="ED99" s="43"/>
      <c r="EE99" s="43"/>
      <c r="EF99" s="43"/>
      <c r="EG99" s="43"/>
      <c r="EH99" s="43"/>
      <c r="EI99" s="43"/>
      <c r="EJ99" s="43"/>
      <c r="EK99" s="43"/>
      <c r="EL99" s="43"/>
      <c r="EM99" s="43"/>
      <c r="EN99" s="43"/>
      <c r="EO99" s="43"/>
      <c r="EP99" s="43"/>
      <c r="EQ99" s="43"/>
      <c r="ER99" s="43"/>
      <c r="ES99" s="43"/>
      <c r="ET99" s="43"/>
      <c r="EU99" s="43"/>
      <c r="EV99" s="43"/>
      <c r="EW99" s="43"/>
      <c r="EX99" s="43"/>
      <c r="EY99" s="43"/>
      <c r="EZ99" s="43"/>
      <c r="FA99" s="43"/>
      <c r="FB99" s="43"/>
      <c r="FC99" s="43"/>
      <c r="FD99" s="43"/>
      <c r="FE99" s="43"/>
      <c r="FF99" s="43"/>
      <c r="FG99" s="43"/>
      <c r="FH99" s="43"/>
      <c r="FI99" s="43"/>
      <c r="FJ99" s="43"/>
      <c r="FK99" s="43"/>
      <c r="FL99" s="43"/>
      <c r="FM99" s="43"/>
      <c r="FN99" s="43"/>
      <c r="FO99" s="43"/>
      <c r="FP99" s="43"/>
      <c r="FQ99" s="43"/>
      <c r="FR99" s="43"/>
      <c r="FS99" s="43"/>
      <c r="FT99" s="43"/>
      <c r="FU99" s="43"/>
      <c r="FV99" s="43"/>
      <c r="FW99" s="43"/>
      <c r="FX99" s="43"/>
      <c r="FY99" s="43"/>
      <c r="FZ99" s="43"/>
      <c r="GA99" s="43"/>
      <c r="GB99" s="43"/>
      <c r="GC99" s="43"/>
      <c r="GD99" s="43"/>
      <c r="GE99" s="43"/>
      <c r="GF99" s="43"/>
      <c r="GG99" s="43"/>
      <c r="GH99" s="43"/>
      <c r="GI99" s="43"/>
      <c r="GJ99" s="43"/>
      <c r="GK99" s="43"/>
      <c r="GL99" s="43"/>
      <c r="GM99" s="43"/>
      <c r="GN99" s="43"/>
      <c r="GO99" s="43"/>
      <c r="GP99" s="43"/>
      <c r="GQ99" s="43"/>
      <c r="GR99" s="43"/>
      <c r="GS99" s="43"/>
      <c r="GT99" s="43"/>
      <c r="GU99" s="43"/>
      <c r="GV99" s="43"/>
      <c r="GW99" s="43"/>
      <c r="GX99" s="43"/>
      <c r="GY99" s="43"/>
      <c r="GZ99" s="43"/>
      <c r="HA99" s="43"/>
      <c r="HB99" s="43"/>
      <c r="HC99" s="43"/>
      <c r="HD99" s="43"/>
      <c r="HE99" s="43"/>
      <c r="HF99" s="43"/>
      <c r="HG99" s="43"/>
      <c r="HH99" s="43"/>
      <c r="HI99" s="43"/>
      <c r="HJ99" s="43"/>
      <c r="HK99" s="43"/>
      <c r="HL99" s="43"/>
      <c r="HM99" s="43"/>
      <c r="HN99" s="43"/>
      <c r="HO99" s="43"/>
      <c r="HP99" s="43"/>
      <c r="HQ99" s="43"/>
      <c r="HR99" s="43"/>
      <c r="HS99" s="43"/>
      <c r="HT99" s="43"/>
      <c r="HU99" s="43"/>
      <c r="HV99" s="43"/>
      <c r="HW99" s="43"/>
      <c r="HX99" s="43"/>
      <c r="HY99" s="43"/>
      <c r="HZ99" s="43"/>
      <c r="IA99" s="43"/>
      <c r="IB99" s="43"/>
      <c r="IC99" s="43"/>
      <c r="ID99" s="43"/>
      <c r="IE99" s="43"/>
      <c r="IF99" s="43"/>
      <c r="IG99" s="43"/>
      <c r="IH99" s="43"/>
      <c r="II99" s="43"/>
      <c r="IJ99" s="43"/>
      <c r="IK99" s="43"/>
      <c r="IL99" s="43"/>
      <c r="IM99" s="43"/>
      <c r="IN99" s="43"/>
      <c r="IO99" s="43"/>
      <c r="IP99" s="43"/>
      <c r="IQ99" s="43"/>
      <c r="IR99" s="43"/>
      <c r="IS99" s="43"/>
      <c r="IT99" s="43"/>
      <c r="IU99" s="43"/>
      <c r="IV99" s="43"/>
    </row>
    <row r="100" spans="1:256" s="29" customFormat="1" x14ac:dyDescent="0.3">
      <c r="A100" s="48" t="s">
        <v>99</v>
      </c>
      <c r="B100" s="124" t="s">
        <v>100</v>
      </c>
      <c r="C100" s="43">
        <v>0.32599999999999996</v>
      </c>
      <c r="D100" s="43">
        <v>0</v>
      </c>
      <c r="E100" s="43">
        <v>0</v>
      </c>
      <c r="F100" s="43">
        <v>0.69095699999999993</v>
      </c>
      <c r="G100" s="43">
        <v>2657.9989999999998</v>
      </c>
      <c r="H100" s="43">
        <v>8042.26</v>
      </c>
      <c r="I100" s="43">
        <v>2738.6800000000003</v>
      </c>
      <c r="J100" s="43">
        <f>SUM('X-Monthly'!CI100:CT100)</f>
        <v>3366.33</v>
      </c>
      <c r="K100" s="43">
        <f>SUM('X-Monthly'!CU100:DF100)</f>
        <v>1849</v>
      </c>
      <c r="L100" s="43">
        <f>SUM('X-Monthly'!DG100:DR100)</f>
        <v>7055</v>
      </c>
      <c r="M100" s="43">
        <f>SUM('X-Monthly'!DS100:ED100)</f>
        <v>6956</v>
      </c>
      <c r="N100" s="43">
        <v>5467.5</v>
      </c>
      <c r="O100" s="43">
        <v>13488.49</v>
      </c>
      <c r="P100" s="43">
        <v>6426</v>
      </c>
      <c r="Q100" s="43">
        <v>6577</v>
      </c>
      <c r="R100" s="43">
        <v>7045</v>
      </c>
      <c r="S100" s="43">
        <v>1404.47</v>
      </c>
      <c r="T100" s="43">
        <v>1175</v>
      </c>
      <c r="U100" s="43">
        <v>1799.34</v>
      </c>
      <c r="V100" s="43">
        <v>177.49</v>
      </c>
      <c r="W100" s="43">
        <v>272.93000000000006</v>
      </c>
      <c r="X100" s="43">
        <v>678.45</v>
      </c>
      <c r="Y100" s="43">
        <v>2118.09</v>
      </c>
      <c r="Z100" s="43">
        <v>20.13</v>
      </c>
      <c r="AA100" s="43">
        <v>5422.87</v>
      </c>
      <c r="AB100" s="43">
        <v>11038.2</v>
      </c>
      <c r="AC100" s="43">
        <v>8552.8410000000003</v>
      </c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4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  <c r="BF100" s="43"/>
      <c r="BG100" s="43"/>
      <c r="BH100" s="43"/>
      <c r="BI100" s="43"/>
      <c r="BJ100" s="43"/>
      <c r="BK100" s="43"/>
      <c r="BL100" s="43"/>
      <c r="BM100" s="43"/>
      <c r="BN100" s="43"/>
      <c r="BO100" s="43"/>
      <c r="BP100" s="43"/>
      <c r="BQ100" s="43"/>
      <c r="BR100" s="43"/>
      <c r="BS100" s="43"/>
      <c r="BT100" s="43"/>
      <c r="BU100" s="43"/>
      <c r="BV100" s="43"/>
      <c r="BW100" s="43"/>
      <c r="BX100" s="43"/>
      <c r="BY100" s="43"/>
      <c r="BZ100" s="43"/>
      <c r="CA100" s="43"/>
      <c r="CB100" s="43"/>
      <c r="CC100" s="43"/>
      <c r="CD100" s="43"/>
      <c r="CE100" s="43"/>
      <c r="CF100" s="43"/>
      <c r="CG100" s="43"/>
      <c r="CH100" s="43"/>
      <c r="CI100" s="43"/>
      <c r="CJ100" s="43"/>
      <c r="CK100" s="43"/>
      <c r="CL100" s="43"/>
      <c r="CM100" s="43"/>
      <c r="CN100" s="43"/>
      <c r="CO100" s="43"/>
      <c r="CP100" s="43"/>
      <c r="CQ100" s="43"/>
      <c r="CR100" s="43"/>
      <c r="CS100" s="43"/>
      <c r="CT100" s="43"/>
      <c r="CU100" s="43"/>
      <c r="CV100" s="43"/>
      <c r="CW100" s="43"/>
      <c r="CX100" s="43"/>
      <c r="CY100" s="43"/>
      <c r="CZ100" s="43"/>
      <c r="DA100" s="43"/>
      <c r="DB100" s="43"/>
      <c r="DC100" s="43"/>
      <c r="DD100" s="43"/>
      <c r="DE100" s="43"/>
      <c r="DF100" s="43"/>
      <c r="DG100" s="43"/>
      <c r="DH100" s="43"/>
      <c r="DI100" s="43"/>
      <c r="DJ100" s="43"/>
      <c r="DK100" s="43"/>
      <c r="DL100" s="43"/>
      <c r="DM100" s="43"/>
      <c r="DN100" s="43"/>
      <c r="DO100" s="43"/>
      <c r="DP100" s="43"/>
      <c r="DQ100" s="43"/>
      <c r="DR100" s="43"/>
      <c r="DS100" s="43"/>
      <c r="DT100" s="43"/>
      <c r="DU100" s="43"/>
      <c r="DV100" s="43"/>
      <c r="DW100" s="43"/>
      <c r="DX100" s="43"/>
      <c r="DY100" s="43"/>
      <c r="DZ100" s="43"/>
      <c r="EA100" s="43"/>
      <c r="EB100" s="43"/>
      <c r="EC100" s="43"/>
      <c r="ED100" s="43"/>
      <c r="EE100" s="43"/>
      <c r="EF100" s="43"/>
      <c r="EG100" s="43"/>
      <c r="EH100" s="43"/>
      <c r="EI100" s="43"/>
      <c r="EJ100" s="43"/>
      <c r="EK100" s="43"/>
      <c r="EL100" s="43"/>
      <c r="EM100" s="43"/>
      <c r="EN100" s="43"/>
      <c r="EO100" s="43"/>
      <c r="EP100" s="43"/>
      <c r="EQ100" s="43"/>
      <c r="ER100" s="43"/>
      <c r="ES100" s="43"/>
      <c r="ET100" s="43"/>
      <c r="EU100" s="43"/>
      <c r="EV100" s="43"/>
      <c r="EW100" s="43"/>
      <c r="EX100" s="43"/>
      <c r="EY100" s="43"/>
      <c r="EZ100" s="43"/>
      <c r="FA100" s="43"/>
      <c r="FB100" s="43"/>
      <c r="FC100" s="43"/>
      <c r="FD100" s="43"/>
      <c r="FE100" s="43"/>
      <c r="FF100" s="43"/>
      <c r="FG100" s="43"/>
      <c r="FH100" s="43"/>
      <c r="FI100" s="43"/>
      <c r="FJ100" s="43"/>
      <c r="FK100" s="43"/>
      <c r="FL100" s="43"/>
      <c r="FM100" s="43"/>
      <c r="FN100" s="43"/>
      <c r="FO100" s="43"/>
      <c r="FP100" s="43"/>
      <c r="FQ100" s="43"/>
      <c r="FR100" s="43"/>
      <c r="FS100" s="43"/>
      <c r="FT100" s="43"/>
      <c r="FU100" s="43"/>
      <c r="FV100" s="43"/>
      <c r="FW100" s="43"/>
      <c r="FX100" s="43"/>
      <c r="FY100" s="43"/>
      <c r="FZ100" s="43"/>
      <c r="GA100" s="43"/>
      <c r="GB100" s="43"/>
      <c r="GC100" s="43"/>
      <c r="GD100" s="43"/>
      <c r="GE100" s="43"/>
      <c r="GF100" s="43"/>
      <c r="GG100" s="43"/>
      <c r="GH100" s="43"/>
      <c r="GI100" s="43"/>
      <c r="GJ100" s="43"/>
      <c r="GK100" s="43"/>
      <c r="GL100" s="43"/>
      <c r="GM100" s="43"/>
      <c r="GN100" s="43"/>
      <c r="GO100" s="43"/>
      <c r="GP100" s="43"/>
      <c r="GQ100" s="43"/>
      <c r="GR100" s="43"/>
      <c r="GS100" s="43"/>
      <c r="GT100" s="43"/>
      <c r="GU100" s="43"/>
      <c r="GV100" s="43"/>
      <c r="GW100" s="43"/>
      <c r="GX100" s="43"/>
      <c r="GY100" s="43"/>
      <c r="GZ100" s="43"/>
      <c r="HA100" s="43"/>
      <c r="HB100" s="43"/>
      <c r="HC100" s="43"/>
      <c r="HD100" s="43"/>
      <c r="HE100" s="43"/>
      <c r="HF100" s="43"/>
      <c r="HG100" s="43"/>
      <c r="HH100" s="43"/>
      <c r="HI100" s="43"/>
      <c r="HJ100" s="43"/>
      <c r="HK100" s="43"/>
      <c r="HL100" s="43"/>
      <c r="HM100" s="43"/>
      <c r="HN100" s="43"/>
      <c r="HO100" s="43"/>
      <c r="HP100" s="43"/>
      <c r="HQ100" s="43"/>
      <c r="HR100" s="43"/>
      <c r="HS100" s="43"/>
      <c r="HT100" s="43"/>
      <c r="HU100" s="43"/>
      <c r="HV100" s="43"/>
      <c r="HW100" s="43"/>
      <c r="HX100" s="43"/>
      <c r="HY100" s="43"/>
      <c r="HZ100" s="43"/>
      <c r="IA100" s="43"/>
      <c r="IB100" s="43"/>
      <c r="IC100" s="43"/>
      <c r="ID100" s="43"/>
      <c r="IE100" s="43"/>
      <c r="IF100" s="43"/>
      <c r="IG100" s="43"/>
      <c r="IH100" s="43"/>
      <c r="II100" s="43"/>
      <c r="IJ100" s="43"/>
      <c r="IK100" s="43"/>
      <c r="IL100" s="43"/>
      <c r="IM100" s="43"/>
      <c r="IN100" s="43"/>
      <c r="IO100" s="43"/>
      <c r="IP100" s="43"/>
      <c r="IQ100" s="43"/>
      <c r="IR100" s="43"/>
      <c r="IS100" s="43"/>
      <c r="IT100" s="43"/>
      <c r="IU100" s="43"/>
      <c r="IV100" s="43"/>
    </row>
    <row r="101" spans="1:256" s="29" customFormat="1" x14ac:dyDescent="0.3">
      <c r="A101" s="33" t="s">
        <v>16</v>
      </c>
      <c r="B101" s="125" t="s">
        <v>89</v>
      </c>
      <c r="C101" s="43">
        <v>410.74</v>
      </c>
      <c r="D101" s="43">
        <v>677.13</v>
      </c>
      <c r="E101" s="43">
        <v>1353.7800000000002</v>
      </c>
      <c r="F101" s="43">
        <v>2980.732739</v>
      </c>
      <c r="G101" s="43">
        <v>267.34000000000003</v>
      </c>
      <c r="H101" s="43">
        <v>0</v>
      </c>
      <c r="I101" s="43">
        <v>1629.5026800000001</v>
      </c>
      <c r="J101" s="43">
        <f>SUM('X-Monthly'!CI101:CT101)</f>
        <v>0</v>
      </c>
      <c r="K101" s="43">
        <f>SUM('X-Monthly'!CU101:DF101)</f>
        <v>0</v>
      </c>
      <c r="L101" s="43">
        <f>SUM('X-Monthly'!DG101:DR101)</f>
        <v>522.18000000000006</v>
      </c>
      <c r="M101" s="43">
        <f>SUM('X-Monthly'!DS101:ED101)</f>
        <v>673.49</v>
      </c>
      <c r="N101" s="43">
        <v>139.32</v>
      </c>
      <c r="O101" s="43">
        <v>60.85</v>
      </c>
      <c r="P101" s="43">
        <v>679.45</v>
      </c>
      <c r="Q101" s="43">
        <v>741.68999999999994</v>
      </c>
      <c r="R101" s="43">
        <v>658.87999999999988</v>
      </c>
      <c r="S101" s="43">
        <v>717.6099999999999</v>
      </c>
      <c r="T101" s="43">
        <v>668.79000000000008</v>
      </c>
      <c r="U101" s="43">
        <v>684.58900000000006</v>
      </c>
      <c r="V101" s="43">
        <v>648.71</v>
      </c>
      <c r="W101" s="43">
        <v>520</v>
      </c>
      <c r="X101" s="43">
        <v>601</v>
      </c>
      <c r="Y101" s="43">
        <v>143.38999999999999</v>
      </c>
      <c r="Z101" s="43">
        <v>0</v>
      </c>
      <c r="AA101" s="43">
        <v>0</v>
      </c>
      <c r="AB101" s="43">
        <v>0</v>
      </c>
      <c r="AC101" s="43">
        <v>0</v>
      </c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4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  <c r="BF101" s="43"/>
      <c r="BG101" s="43"/>
      <c r="BH101" s="43"/>
      <c r="BI101" s="43"/>
      <c r="BJ101" s="43"/>
      <c r="BK101" s="43"/>
      <c r="BL101" s="43"/>
      <c r="BM101" s="43"/>
      <c r="BN101" s="43"/>
      <c r="BO101" s="43"/>
      <c r="BP101" s="43"/>
      <c r="BQ101" s="43"/>
      <c r="BR101" s="43"/>
      <c r="BS101" s="43"/>
      <c r="BT101" s="43"/>
      <c r="BU101" s="43"/>
      <c r="BV101" s="43"/>
      <c r="BW101" s="43"/>
      <c r="BX101" s="43"/>
      <c r="BY101" s="43"/>
      <c r="BZ101" s="43"/>
      <c r="CA101" s="43"/>
      <c r="CB101" s="43"/>
      <c r="CC101" s="43"/>
      <c r="CD101" s="43"/>
      <c r="CE101" s="43"/>
      <c r="CF101" s="43"/>
      <c r="CG101" s="43"/>
      <c r="CH101" s="43"/>
      <c r="CI101" s="43"/>
      <c r="CJ101" s="43"/>
      <c r="CK101" s="43"/>
      <c r="CL101" s="43"/>
      <c r="CM101" s="43"/>
      <c r="CN101" s="43"/>
      <c r="CO101" s="43"/>
      <c r="CP101" s="43"/>
      <c r="CQ101" s="43"/>
      <c r="CR101" s="43"/>
      <c r="CS101" s="43"/>
      <c r="CT101" s="43"/>
      <c r="CU101" s="43"/>
      <c r="CV101" s="43"/>
      <c r="CW101" s="43"/>
      <c r="CX101" s="43"/>
      <c r="CY101" s="43"/>
      <c r="CZ101" s="43"/>
      <c r="DA101" s="43"/>
      <c r="DB101" s="43"/>
      <c r="DC101" s="43"/>
      <c r="DD101" s="43"/>
      <c r="DE101" s="43"/>
      <c r="DF101" s="43"/>
      <c r="DG101" s="43"/>
      <c r="DH101" s="43"/>
      <c r="DI101" s="43"/>
      <c r="DJ101" s="43"/>
      <c r="DK101" s="43"/>
      <c r="DL101" s="43"/>
      <c r="DM101" s="43"/>
      <c r="DN101" s="43"/>
      <c r="DO101" s="43"/>
      <c r="DP101" s="43"/>
      <c r="DQ101" s="43"/>
      <c r="DR101" s="43"/>
      <c r="DS101" s="43"/>
      <c r="DT101" s="43"/>
      <c r="DU101" s="43"/>
      <c r="DV101" s="43"/>
      <c r="DW101" s="43"/>
      <c r="DX101" s="43"/>
      <c r="DY101" s="43"/>
      <c r="DZ101" s="43"/>
      <c r="EA101" s="43"/>
      <c r="EB101" s="43"/>
      <c r="EC101" s="43"/>
      <c r="ED101" s="43"/>
      <c r="EE101" s="43"/>
      <c r="EF101" s="43"/>
      <c r="EG101" s="43"/>
      <c r="EH101" s="43"/>
      <c r="EI101" s="43"/>
      <c r="EJ101" s="43"/>
      <c r="EK101" s="43"/>
      <c r="EL101" s="43"/>
      <c r="EM101" s="43"/>
      <c r="EN101" s="43"/>
      <c r="EO101" s="43"/>
      <c r="EP101" s="43"/>
      <c r="EQ101" s="43"/>
      <c r="ER101" s="43"/>
      <c r="ES101" s="43"/>
      <c r="ET101" s="43"/>
      <c r="EU101" s="43"/>
      <c r="EV101" s="43"/>
      <c r="EW101" s="43"/>
      <c r="EX101" s="43"/>
      <c r="EY101" s="43"/>
      <c r="EZ101" s="43"/>
      <c r="FA101" s="43"/>
      <c r="FB101" s="43"/>
      <c r="FC101" s="43"/>
      <c r="FD101" s="43"/>
      <c r="FE101" s="43"/>
      <c r="FF101" s="43"/>
      <c r="FG101" s="43"/>
      <c r="FH101" s="43"/>
      <c r="FI101" s="43"/>
      <c r="FJ101" s="43"/>
      <c r="FK101" s="43"/>
      <c r="FL101" s="43"/>
      <c r="FM101" s="43"/>
      <c r="FN101" s="43"/>
      <c r="FO101" s="43"/>
      <c r="FP101" s="43"/>
      <c r="FQ101" s="43"/>
      <c r="FR101" s="43"/>
      <c r="FS101" s="43"/>
      <c r="FT101" s="43"/>
      <c r="FU101" s="43"/>
      <c r="FV101" s="43"/>
      <c r="FW101" s="43"/>
      <c r="FX101" s="43"/>
      <c r="FY101" s="43"/>
      <c r="FZ101" s="43"/>
      <c r="GA101" s="43"/>
      <c r="GB101" s="43"/>
      <c r="GC101" s="43"/>
      <c r="GD101" s="43"/>
      <c r="GE101" s="43"/>
      <c r="GF101" s="43"/>
      <c r="GG101" s="43"/>
      <c r="GH101" s="43"/>
      <c r="GI101" s="43"/>
      <c r="GJ101" s="43"/>
      <c r="GK101" s="43"/>
      <c r="GL101" s="43"/>
      <c r="GM101" s="43"/>
      <c r="GN101" s="43"/>
      <c r="GO101" s="43"/>
      <c r="GP101" s="43"/>
      <c r="GQ101" s="43"/>
      <c r="GR101" s="43"/>
      <c r="GS101" s="43"/>
      <c r="GT101" s="43"/>
      <c r="GU101" s="43"/>
      <c r="GV101" s="43"/>
      <c r="GW101" s="43"/>
      <c r="GX101" s="43"/>
      <c r="GY101" s="43"/>
      <c r="GZ101" s="43"/>
      <c r="HA101" s="43"/>
      <c r="HB101" s="43"/>
      <c r="HC101" s="43"/>
      <c r="HD101" s="43"/>
      <c r="HE101" s="43"/>
      <c r="HF101" s="43"/>
      <c r="HG101" s="43"/>
      <c r="HH101" s="43"/>
      <c r="HI101" s="43"/>
      <c r="HJ101" s="43"/>
      <c r="HK101" s="43"/>
      <c r="HL101" s="43"/>
      <c r="HM101" s="43"/>
      <c r="HN101" s="43"/>
      <c r="HO101" s="43"/>
      <c r="HP101" s="43"/>
      <c r="HQ101" s="43"/>
      <c r="HR101" s="43"/>
      <c r="HS101" s="43"/>
      <c r="HT101" s="43"/>
      <c r="HU101" s="43"/>
      <c r="HV101" s="43"/>
      <c r="HW101" s="43"/>
      <c r="HX101" s="43"/>
      <c r="HY101" s="43"/>
      <c r="HZ101" s="43"/>
      <c r="IA101" s="43"/>
      <c r="IB101" s="43"/>
      <c r="IC101" s="43"/>
      <c r="ID101" s="43"/>
      <c r="IE101" s="43"/>
      <c r="IF101" s="43"/>
      <c r="IG101" s="43"/>
      <c r="IH101" s="43"/>
      <c r="II101" s="43"/>
      <c r="IJ101" s="43"/>
      <c r="IK101" s="43"/>
      <c r="IL101" s="43"/>
      <c r="IM101" s="43"/>
      <c r="IN101" s="43"/>
      <c r="IO101" s="43"/>
      <c r="IP101" s="43"/>
      <c r="IQ101" s="43"/>
      <c r="IR101" s="43"/>
      <c r="IS101" s="43"/>
      <c r="IT101" s="43"/>
      <c r="IU101" s="43"/>
      <c r="IV101" s="43"/>
    </row>
    <row r="102" spans="1:256" s="29" customFormat="1" x14ac:dyDescent="0.3">
      <c r="A102" s="33" t="s">
        <v>102</v>
      </c>
      <c r="B102" s="125"/>
      <c r="C102" s="43">
        <v>0</v>
      </c>
      <c r="D102" s="43">
        <v>0</v>
      </c>
      <c r="E102" s="43">
        <v>0</v>
      </c>
      <c r="F102" s="43">
        <v>0</v>
      </c>
      <c r="G102" s="43">
        <v>0</v>
      </c>
      <c r="H102" s="43">
        <v>0</v>
      </c>
      <c r="I102" s="43">
        <v>0</v>
      </c>
      <c r="J102" s="43">
        <f>SUM('X-Monthly'!CI102:CT102)</f>
        <v>0</v>
      </c>
      <c r="K102" s="43">
        <f>SUM('X-Monthly'!CU102:DF102)</f>
        <v>0</v>
      </c>
      <c r="L102" s="43">
        <f>SUM('X-Monthly'!DG102:DR102)</f>
        <v>0</v>
      </c>
      <c r="M102" s="43">
        <f>SUM('X-Monthly'!DS102:ED102)</f>
        <v>0</v>
      </c>
      <c r="N102" s="43">
        <v>0</v>
      </c>
      <c r="O102" s="43">
        <v>0</v>
      </c>
      <c r="P102" s="43">
        <v>0</v>
      </c>
      <c r="Q102" s="43">
        <v>0</v>
      </c>
      <c r="R102" s="43">
        <v>0</v>
      </c>
      <c r="S102" s="43">
        <v>0</v>
      </c>
      <c r="T102" s="43">
        <v>0</v>
      </c>
      <c r="U102" s="43">
        <v>0</v>
      </c>
      <c r="V102" s="43">
        <v>2728.72</v>
      </c>
      <c r="W102" s="43">
        <v>9810.7469999999994</v>
      </c>
      <c r="X102" s="43">
        <v>15688.039340000001</v>
      </c>
      <c r="Y102" s="43">
        <v>33049.831000000006</v>
      </c>
      <c r="Z102" s="43">
        <v>11777.595599999999</v>
      </c>
      <c r="AA102" s="43">
        <v>26586.887999999995</v>
      </c>
      <c r="AB102" s="43">
        <v>19446.243999999999</v>
      </c>
      <c r="AC102" s="43">
        <v>15928.423999999999</v>
      </c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  <c r="BF102" s="43"/>
      <c r="BG102" s="43"/>
      <c r="BH102" s="43"/>
      <c r="BI102" s="43"/>
      <c r="BJ102" s="43"/>
      <c r="BK102" s="43"/>
      <c r="BL102" s="43"/>
      <c r="BM102" s="43"/>
      <c r="BN102" s="43"/>
      <c r="BO102" s="43"/>
      <c r="BP102" s="43"/>
      <c r="BQ102" s="43"/>
      <c r="BR102" s="43"/>
      <c r="BS102" s="43"/>
      <c r="BT102" s="43"/>
      <c r="BU102" s="43"/>
      <c r="BV102" s="43"/>
      <c r="BW102" s="43"/>
      <c r="BX102" s="43"/>
      <c r="BY102" s="43"/>
      <c r="BZ102" s="43"/>
      <c r="CA102" s="43"/>
      <c r="CB102" s="43"/>
      <c r="CC102" s="43"/>
      <c r="CD102" s="43"/>
      <c r="CE102" s="43"/>
      <c r="CF102" s="43"/>
      <c r="CG102" s="43"/>
      <c r="CH102" s="43"/>
      <c r="CI102" s="43"/>
      <c r="CJ102" s="43"/>
      <c r="CK102" s="43"/>
      <c r="CL102" s="43"/>
      <c r="CM102" s="43"/>
      <c r="CN102" s="43"/>
      <c r="CO102" s="43"/>
      <c r="CP102" s="43"/>
      <c r="CQ102" s="43"/>
      <c r="CR102" s="43"/>
      <c r="CS102" s="43"/>
      <c r="CT102" s="43"/>
      <c r="CU102" s="43"/>
      <c r="CV102" s="43"/>
      <c r="CW102" s="43"/>
      <c r="CX102" s="43"/>
      <c r="CY102" s="43"/>
      <c r="CZ102" s="43"/>
      <c r="DA102" s="43"/>
      <c r="DB102" s="43"/>
      <c r="DC102" s="43"/>
      <c r="DD102" s="43"/>
      <c r="DE102" s="43"/>
      <c r="DF102" s="43"/>
      <c r="DG102" s="43"/>
      <c r="DH102" s="43"/>
      <c r="DI102" s="43"/>
      <c r="DJ102" s="43"/>
      <c r="DK102" s="43"/>
      <c r="DL102" s="43"/>
      <c r="DM102" s="43"/>
      <c r="DN102" s="43"/>
      <c r="DO102" s="43"/>
      <c r="DP102" s="43"/>
      <c r="DQ102" s="43"/>
      <c r="DR102" s="43"/>
      <c r="DS102" s="43"/>
      <c r="DT102" s="43"/>
      <c r="DU102" s="43"/>
      <c r="DV102" s="43"/>
      <c r="DW102" s="43"/>
      <c r="DX102" s="43"/>
      <c r="DY102" s="43"/>
      <c r="DZ102" s="43"/>
      <c r="EA102" s="43"/>
      <c r="EB102" s="43"/>
      <c r="EC102" s="43"/>
      <c r="ED102" s="43"/>
      <c r="EE102" s="43"/>
      <c r="EF102" s="43"/>
      <c r="EG102" s="43"/>
      <c r="EH102" s="43"/>
      <c r="EI102" s="43"/>
      <c r="EJ102" s="43"/>
      <c r="EK102" s="43"/>
      <c r="EL102" s="43"/>
      <c r="EM102" s="43"/>
      <c r="EN102" s="43"/>
      <c r="EO102" s="43"/>
      <c r="EP102" s="43"/>
      <c r="EQ102" s="43"/>
      <c r="ER102" s="43"/>
      <c r="ES102" s="43"/>
      <c r="ET102" s="43"/>
      <c r="EU102" s="43"/>
      <c r="EV102" s="43"/>
      <c r="EW102" s="43"/>
      <c r="EX102" s="43"/>
      <c r="EY102" s="43"/>
      <c r="EZ102" s="43"/>
      <c r="FA102" s="43"/>
      <c r="FB102" s="43"/>
      <c r="FC102" s="43"/>
      <c r="FD102" s="43"/>
      <c r="FE102" s="43"/>
      <c r="FF102" s="43"/>
      <c r="FG102" s="43"/>
      <c r="FH102" s="43"/>
      <c r="FI102" s="43"/>
      <c r="FJ102" s="43"/>
      <c r="FK102" s="43"/>
      <c r="FL102" s="43"/>
      <c r="FM102" s="43"/>
      <c r="FN102" s="43"/>
      <c r="FO102" s="43"/>
      <c r="FP102" s="43"/>
      <c r="FQ102" s="43"/>
      <c r="FR102" s="43"/>
      <c r="FS102" s="43"/>
      <c r="FT102" s="43"/>
      <c r="FU102" s="43"/>
      <c r="FV102" s="43"/>
      <c r="FW102" s="43"/>
      <c r="FX102" s="43"/>
      <c r="FY102" s="43"/>
      <c r="FZ102" s="43"/>
      <c r="GA102" s="43"/>
      <c r="GB102" s="43"/>
      <c r="GC102" s="43"/>
      <c r="GD102" s="43"/>
      <c r="GE102" s="43"/>
      <c r="GF102" s="43"/>
      <c r="GG102" s="43"/>
      <c r="GH102" s="43"/>
      <c r="GI102" s="43"/>
      <c r="GJ102" s="43"/>
      <c r="GK102" s="43"/>
      <c r="GL102" s="43"/>
      <c r="GM102" s="43"/>
      <c r="GN102" s="43"/>
      <c r="GO102" s="43"/>
      <c r="GP102" s="43"/>
      <c r="GQ102" s="43"/>
      <c r="GR102" s="43"/>
      <c r="GS102" s="43"/>
      <c r="GT102" s="43"/>
      <c r="GU102" s="43"/>
      <c r="GV102" s="43"/>
      <c r="GW102" s="43"/>
      <c r="GX102" s="43"/>
      <c r="GY102" s="43"/>
      <c r="GZ102" s="43"/>
      <c r="HA102" s="43"/>
      <c r="HB102" s="43"/>
      <c r="HC102" s="43"/>
      <c r="HD102" s="43"/>
      <c r="HE102" s="43"/>
      <c r="HF102" s="43"/>
      <c r="HG102" s="43"/>
      <c r="HH102" s="43"/>
      <c r="HI102" s="43"/>
      <c r="HJ102" s="43"/>
      <c r="HK102" s="43"/>
      <c r="HL102" s="43"/>
      <c r="HM102" s="43"/>
      <c r="HN102" s="43"/>
      <c r="HO102" s="43"/>
      <c r="HP102" s="43"/>
      <c r="HQ102" s="43"/>
      <c r="HR102" s="43"/>
      <c r="HS102" s="43"/>
      <c r="HT102" s="43"/>
      <c r="HU102" s="43"/>
      <c r="HV102" s="43"/>
      <c r="HW102" s="43"/>
      <c r="HX102" s="43"/>
      <c r="HY102" s="43"/>
      <c r="HZ102" s="43"/>
      <c r="IA102" s="43"/>
      <c r="IB102" s="43"/>
      <c r="IC102" s="43"/>
      <c r="ID102" s="43"/>
      <c r="IE102" s="43"/>
      <c r="IF102" s="43"/>
      <c r="IG102" s="43"/>
      <c r="IH102" s="43"/>
      <c r="II102" s="43"/>
      <c r="IJ102" s="43"/>
      <c r="IK102" s="43"/>
      <c r="IL102" s="43"/>
      <c r="IM102" s="43"/>
      <c r="IN102" s="43"/>
      <c r="IO102" s="43"/>
      <c r="IP102" s="43"/>
      <c r="IQ102" s="43"/>
      <c r="IR102" s="43"/>
      <c r="IS102" s="43"/>
      <c r="IT102" s="43"/>
      <c r="IU102" s="43"/>
      <c r="IV102" s="43"/>
    </row>
    <row r="103" spans="1:256" s="29" customFormat="1" x14ac:dyDescent="0.3">
      <c r="A103" s="33" t="s">
        <v>35</v>
      </c>
      <c r="B103" s="122"/>
      <c r="C103" s="43">
        <v>0</v>
      </c>
      <c r="D103" s="43">
        <v>0</v>
      </c>
      <c r="E103" s="43">
        <v>951.84</v>
      </c>
      <c r="F103" s="43">
        <v>73418.25</v>
      </c>
      <c r="G103" s="43">
        <v>1328094</v>
      </c>
      <c r="H103" s="43">
        <v>964.99</v>
      </c>
      <c r="I103" s="43">
        <v>574.57399999999996</v>
      </c>
      <c r="J103" s="43">
        <f>SUM('X-Monthly'!CI103:CT103)</f>
        <v>0</v>
      </c>
      <c r="K103" s="43">
        <f>SUM('X-Monthly'!CU103:DF103)</f>
        <v>0</v>
      </c>
      <c r="L103" s="43">
        <f>SUM('X-Monthly'!DG103:DR103)</f>
        <v>971.60399999999993</v>
      </c>
      <c r="M103" s="43">
        <f>SUM('X-Monthly'!DS103:ED103)</f>
        <v>790.25</v>
      </c>
      <c r="N103" s="43">
        <v>0</v>
      </c>
      <c r="O103" s="43">
        <v>0</v>
      </c>
      <c r="P103" s="43">
        <v>0</v>
      </c>
      <c r="Q103" s="43">
        <v>0</v>
      </c>
      <c r="R103" s="43">
        <v>2248.38</v>
      </c>
      <c r="S103" s="43">
        <v>4663.68</v>
      </c>
      <c r="T103" s="43">
        <v>1972.08</v>
      </c>
      <c r="U103" s="43">
        <v>0</v>
      </c>
      <c r="V103" s="43">
        <v>0</v>
      </c>
      <c r="W103" s="43">
        <v>17402.623</v>
      </c>
      <c r="X103" s="43">
        <v>23378.88377</v>
      </c>
      <c r="Y103" s="43">
        <v>39982.42</v>
      </c>
      <c r="Z103" s="43">
        <v>30370.237500000003</v>
      </c>
      <c r="AA103" s="43">
        <v>39466.978999999992</v>
      </c>
      <c r="AB103" s="43">
        <v>40022.144999999997</v>
      </c>
      <c r="AC103" s="43">
        <v>44449.014000000003</v>
      </c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4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  <c r="BF103" s="43"/>
      <c r="BG103" s="43"/>
      <c r="BH103" s="43"/>
      <c r="BI103" s="43"/>
      <c r="BJ103" s="43"/>
      <c r="BK103" s="43"/>
      <c r="BL103" s="43"/>
      <c r="BM103" s="43"/>
      <c r="BN103" s="43"/>
      <c r="BO103" s="43"/>
      <c r="BP103" s="43"/>
      <c r="BQ103" s="43"/>
      <c r="BR103" s="43"/>
      <c r="BS103" s="43"/>
      <c r="BT103" s="43"/>
      <c r="BU103" s="43"/>
      <c r="BV103" s="43"/>
      <c r="BW103" s="43"/>
      <c r="BX103" s="43"/>
      <c r="BY103" s="43"/>
      <c r="BZ103" s="43"/>
      <c r="CA103" s="43"/>
      <c r="CB103" s="43"/>
      <c r="CC103" s="43"/>
      <c r="CD103" s="43"/>
      <c r="CE103" s="43"/>
      <c r="CF103" s="43"/>
      <c r="CG103" s="43"/>
      <c r="CH103" s="43"/>
      <c r="CI103" s="43"/>
      <c r="CJ103" s="43"/>
      <c r="CK103" s="43"/>
      <c r="CL103" s="43"/>
      <c r="CM103" s="43"/>
      <c r="CN103" s="43"/>
      <c r="CO103" s="43"/>
      <c r="CP103" s="43"/>
      <c r="CQ103" s="43"/>
      <c r="CR103" s="43"/>
      <c r="CS103" s="43"/>
      <c r="CT103" s="43"/>
      <c r="CU103" s="43"/>
      <c r="CV103" s="43"/>
      <c r="CW103" s="43"/>
      <c r="CX103" s="43"/>
      <c r="CY103" s="43"/>
      <c r="CZ103" s="43"/>
      <c r="DA103" s="43"/>
      <c r="DB103" s="43"/>
      <c r="DC103" s="43"/>
      <c r="DD103" s="43"/>
      <c r="DE103" s="43"/>
      <c r="DF103" s="43"/>
      <c r="DG103" s="43"/>
      <c r="DH103" s="43"/>
      <c r="DI103" s="43"/>
      <c r="DJ103" s="43"/>
      <c r="DK103" s="43"/>
      <c r="DL103" s="43"/>
      <c r="DM103" s="43"/>
      <c r="DN103" s="43"/>
      <c r="DO103" s="43"/>
      <c r="DP103" s="43"/>
      <c r="DQ103" s="43"/>
      <c r="DR103" s="43"/>
      <c r="DS103" s="43"/>
      <c r="DT103" s="43"/>
      <c r="DU103" s="43"/>
      <c r="DV103" s="43"/>
      <c r="DW103" s="43"/>
      <c r="DX103" s="43"/>
      <c r="DY103" s="43"/>
      <c r="DZ103" s="43"/>
      <c r="EA103" s="43"/>
      <c r="EB103" s="43"/>
      <c r="EC103" s="43"/>
      <c r="ED103" s="43"/>
      <c r="EE103" s="43"/>
      <c r="EF103" s="43"/>
      <c r="EG103" s="43"/>
      <c r="EH103" s="43"/>
      <c r="EI103" s="43"/>
      <c r="EJ103" s="43"/>
      <c r="EK103" s="43"/>
      <c r="EL103" s="43"/>
      <c r="EM103" s="43"/>
      <c r="EN103" s="43"/>
      <c r="EO103" s="43"/>
      <c r="EP103" s="43"/>
      <c r="EQ103" s="43"/>
      <c r="ER103" s="43"/>
      <c r="ES103" s="43"/>
      <c r="ET103" s="43"/>
      <c r="EU103" s="43"/>
      <c r="EV103" s="43"/>
      <c r="EW103" s="43"/>
      <c r="EX103" s="43"/>
      <c r="EY103" s="43"/>
      <c r="EZ103" s="43"/>
      <c r="FA103" s="43"/>
      <c r="FB103" s="43"/>
      <c r="FC103" s="43"/>
      <c r="FD103" s="43"/>
      <c r="FE103" s="43"/>
      <c r="FF103" s="43"/>
      <c r="FG103" s="43"/>
      <c r="FH103" s="43"/>
      <c r="FI103" s="43"/>
      <c r="FJ103" s="43"/>
      <c r="FK103" s="43"/>
      <c r="FL103" s="43"/>
      <c r="FM103" s="43"/>
      <c r="FN103" s="43"/>
      <c r="FO103" s="43"/>
      <c r="FP103" s="43"/>
      <c r="FQ103" s="43"/>
      <c r="FR103" s="43"/>
      <c r="FS103" s="43"/>
      <c r="FT103" s="43"/>
      <c r="FU103" s="43"/>
      <c r="FV103" s="43"/>
      <c r="FW103" s="43"/>
      <c r="FX103" s="43"/>
      <c r="FY103" s="43"/>
      <c r="FZ103" s="43"/>
      <c r="GA103" s="43"/>
      <c r="GB103" s="43"/>
      <c r="GC103" s="43"/>
      <c r="GD103" s="43"/>
      <c r="GE103" s="43"/>
      <c r="GF103" s="43"/>
      <c r="GG103" s="43"/>
      <c r="GH103" s="43"/>
      <c r="GI103" s="43"/>
      <c r="GJ103" s="43"/>
      <c r="GK103" s="43"/>
      <c r="GL103" s="43"/>
      <c r="GM103" s="43"/>
      <c r="GN103" s="43"/>
      <c r="GO103" s="43"/>
      <c r="GP103" s="43"/>
      <c r="GQ103" s="43"/>
      <c r="GR103" s="43"/>
      <c r="GS103" s="43"/>
      <c r="GT103" s="43"/>
      <c r="GU103" s="43"/>
      <c r="GV103" s="43"/>
      <c r="GW103" s="43"/>
      <c r="GX103" s="43"/>
      <c r="GY103" s="43"/>
      <c r="GZ103" s="43"/>
      <c r="HA103" s="43"/>
      <c r="HB103" s="43"/>
      <c r="HC103" s="43"/>
      <c r="HD103" s="43"/>
      <c r="HE103" s="43"/>
      <c r="HF103" s="43"/>
      <c r="HG103" s="43"/>
      <c r="HH103" s="43"/>
      <c r="HI103" s="43"/>
      <c r="HJ103" s="43"/>
      <c r="HK103" s="43"/>
      <c r="HL103" s="43"/>
      <c r="HM103" s="43"/>
      <c r="HN103" s="43"/>
      <c r="HO103" s="43"/>
      <c r="HP103" s="43"/>
      <c r="HQ103" s="43"/>
      <c r="HR103" s="43"/>
      <c r="HS103" s="43"/>
      <c r="HT103" s="43"/>
      <c r="HU103" s="43"/>
      <c r="HV103" s="43"/>
      <c r="HW103" s="43"/>
      <c r="HX103" s="43"/>
      <c r="HY103" s="43"/>
      <c r="HZ103" s="43"/>
      <c r="IA103" s="43"/>
      <c r="IB103" s="43"/>
      <c r="IC103" s="43"/>
      <c r="ID103" s="43"/>
      <c r="IE103" s="43"/>
      <c r="IF103" s="43"/>
      <c r="IG103" s="43"/>
      <c r="IH103" s="43"/>
      <c r="II103" s="43"/>
      <c r="IJ103" s="43"/>
      <c r="IK103" s="43"/>
      <c r="IL103" s="43"/>
      <c r="IM103" s="43"/>
      <c r="IN103" s="43"/>
      <c r="IO103" s="43"/>
      <c r="IP103" s="43"/>
      <c r="IQ103" s="43"/>
      <c r="IR103" s="43"/>
      <c r="IS103" s="43"/>
      <c r="IT103" s="43"/>
      <c r="IU103" s="43"/>
      <c r="IV103" s="43"/>
    </row>
    <row r="104" spans="1:256" s="29" customFormat="1" x14ac:dyDescent="0.3">
      <c r="A104" s="33" t="s">
        <v>33</v>
      </c>
      <c r="B104" s="122"/>
      <c r="C104" s="43">
        <v>0</v>
      </c>
      <c r="D104" s="43">
        <v>0</v>
      </c>
      <c r="E104" s="43">
        <v>0</v>
      </c>
      <c r="F104" s="43">
        <v>129492.53</v>
      </c>
      <c r="G104" s="43">
        <v>129420</v>
      </c>
      <c r="H104" s="43">
        <v>463.40999999999997</v>
      </c>
      <c r="I104" s="43">
        <v>0</v>
      </c>
      <c r="J104" s="43">
        <f>SUM('X-Monthly'!CI104:CT104)</f>
        <v>0</v>
      </c>
      <c r="K104" s="43">
        <f>SUM('X-Monthly'!CU104:DF104)</f>
        <v>52.46</v>
      </c>
      <c r="L104" s="43">
        <f>SUM('X-Monthly'!DG104:DR104)</f>
        <v>140.78300000000002</v>
      </c>
      <c r="M104" s="43">
        <f>SUM('X-Monthly'!DS104:ED104)</f>
        <v>308.13</v>
      </c>
      <c r="N104" s="43">
        <v>0</v>
      </c>
      <c r="O104" s="43">
        <v>0</v>
      </c>
      <c r="P104" s="43">
        <v>0</v>
      </c>
      <c r="Q104" s="43">
        <v>0</v>
      </c>
      <c r="R104" s="43">
        <v>6065.22</v>
      </c>
      <c r="S104" s="43">
        <v>0</v>
      </c>
      <c r="T104" s="43">
        <v>0</v>
      </c>
      <c r="U104" s="43">
        <v>0</v>
      </c>
      <c r="V104" s="43">
        <v>0</v>
      </c>
      <c r="W104" s="43">
        <v>5866.9079999999994</v>
      </c>
      <c r="X104" s="43">
        <v>13509.497420000002</v>
      </c>
      <c r="Y104" s="43">
        <v>19542.579999999998</v>
      </c>
      <c r="Z104" s="43">
        <v>23329.066800000001</v>
      </c>
      <c r="AA104" s="43">
        <v>21531.434000000001</v>
      </c>
      <c r="AB104" s="43">
        <v>23148.194000000003</v>
      </c>
      <c r="AC104" s="43">
        <v>19262.980930000002</v>
      </c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  <c r="AS104" s="4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  <c r="BF104" s="43"/>
      <c r="BG104" s="43"/>
      <c r="BH104" s="43"/>
      <c r="BI104" s="43"/>
      <c r="BJ104" s="43"/>
      <c r="BK104" s="43"/>
      <c r="BL104" s="43"/>
      <c r="BM104" s="43"/>
      <c r="BN104" s="43"/>
      <c r="BO104" s="43"/>
      <c r="BP104" s="43"/>
      <c r="BQ104" s="43"/>
      <c r="BR104" s="43"/>
      <c r="BS104" s="43"/>
      <c r="BT104" s="43"/>
      <c r="BU104" s="43"/>
      <c r="BV104" s="43"/>
      <c r="BW104" s="43"/>
      <c r="BX104" s="43"/>
      <c r="BY104" s="43"/>
      <c r="BZ104" s="43"/>
      <c r="CA104" s="43"/>
      <c r="CB104" s="43"/>
      <c r="CC104" s="43"/>
      <c r="CD104" s="43"/>
      <c r="CE104" s="43"/>
      <c r="CF104" s="43"/>
      <c r="CG104" s="43"/>
      <c r="CH104" s="43"/>
      <c r="CI104" s="43"/>
      <c r="CJ104" s="43"/>
      <c r="CK104" s="43"/>
      <c r="CL104" s="43"/>
      <c r="CM104" s="43"/>
      <c r="CN104" s="43"/>
      <c r="CO104" s="43"/>
      <c r="CP104" s="43"/>
      <c r="CQ104" s="43"/>
      <c r="CR104" s="43"/>
      <c r="CS104" s="43"/>
      <c r="CT104" s="43"/>
      <c r="CU104" s="43"/>
      <c r="CV104" s="43"/>
      <c r="CW104" s="43"/>
      <c r="CX104" s="43"/>
      <c r="CY104" s="43"/>
      <c r="CZ104" s="43"/>
      <c r="DA104" s="43"/>
      <c r="DB104" s="43"/>
      <c r="DC104" s="43"/>
      <c r="DD104" s="43"/>
      <c r="DE104" s="43"/>
      <c r="DF104" s="43"/>
      <c r="DG104" s="43"/>
      <c r="DH104" s="43"/>
      <c r="DI104" s="43"/>
      <c r="DJ104" s="43"/>
      <c r="DK104" s="43"/>
      <c r="DL104" s="43"/>
      <c r="DM104" s="43"/>
      <c r="DN104" s="43"/>
      <c r="DO104" s="43"/>
      <c r="DP104" s="43"/>
      <c r="DQ104" s="43"/>
      <c r="DR104" s="43"/>
      <c r="DS104" s="43"/>
      <c r="DT104" s="43"/>
      <c r="DU104" s="43"/>
      <c r="DV104" s="43"/>
      <c r="DW104" s="43"/>
      <c r="DX104" s="43"/>
      <c r="DY104" s="43"/>
      <c r="DZ104" s="43"/>
      <c r="EA104" s="43"/>
      <c r="EB104" s="43"/>
      <c r="EC104" s="43"/>
      <c r="ED104" s="43"/>
      <c r="EE104" s="43"/>
      <c r="EF104" s="43"/>
      <c r="EG104" s="43"/>
      <c r="EH104" s="43"/>
      <c r="EI104" s="43"/>
      <c r="EJ104" s="43"/>
      <c r="EK104" s="43"/>
      <c r="EL104" s="43"/>
      <c r="EM104" s="43"/>
      <c r="EN104" s="43"/>
      <c r="EO104" s="43"/>
      <c r="EP104" s="43"/>
      <c r="EQ104" s="43"/>
      <c r="ER104" s="43"/>
      <c r="ES104" s="43"/>
      <c r="ET104" s="43"/>
      <c r="EU104" s="43"/>
      <c r="EV104" s="43"/>
      <c r="EW104" s="43"/>
      <c r="EX104" s="43"/>
      <c r="EY104" s="43"/>
      <c r="EZ104" s="43"/>
      <c r="FA104" s="43"/>
      <c r="FB104" s="43"/>
      <c r="FC104" s="43"/>
      <c r="FD104" s="43"/>
      <c r="FE104" s="43"/>
      <c r="FF104" s="43"/>
      <c r="FG104" s="43"/>
      <c r="FH104" s="43"/>
      <c r="FI104" s="43"/>
      <c r="FJ104" s="43"/>
      <c r="FK104" s="43"/>
      <c r="FL104" s="43"/>
      <c r="FM104" s="43"/>
      <c r="FN104" s="43"/>
      <c r="FO104" s="43"/>
      <c r="FP104" s="43"/>
      <c r="FQ104" s="43"/>
      <c r="FR104" s="43"/>
      <c r="FS104" s="43"/>
      <c r="FT104" s="43"/>
      <c r="FU104" s="43"/>
      <c r="FV104" s="43"/>
      <c r="FW104" s="43"/>
      <c r="FX104" s="43"/>
      <c r="FY104" s="43"/>
      <c r="FZ104" s="43"/>
      <c r="GA104" s="43"/>
      <c r="GB104" s="43"/>
      <c r="GC104" s="43"/>
      <c r="GD104" s="43"/>
      <c r="GE104" s="43"/>
      <c r="GF104" s="43"/>
      <c r="GG104" s="43"/>
      <c r="GH104" s="43"/>
      <c r="GI104" s="43"/>
      <c r="GJ104" s="43"/>
      <c r="GK104" s="43"/>
      <c r="GL104" s="43"/>
      <c r="GM104" s="43"/>
      <c r="GN104" s="43"/>
      <c r="GO104" s="43"/>
      <c r="GP104" s="43"/>
      <c r="GQ104" s="43"/>
      <c r="GR104" s="43"/>
      <c r="GS104" s="43"/>
      <c r="GT104" s="43"/>
      <c r="GU104" s="43"/>
      <c r="GV104" s="43"/>
      <c r="GW104" s="43"/>
      <c r="GX104" s="43"/>
      <c r="GY104" s="43"/>
      <c r="GZ104" s="43"/>
      <c r="HA104" s="43"/>
      <c r="HB104" s="43"/>
      <c r="HC104" s="43"/>
      <c r="HD104" s="43"/>
      <c r="HE104" s="43"/>
      <c r="HF104" s="43"/>
      <c r="HG104" s="43"/>
      <c r="HH104" s="43"/>
      <c r="HI104" s="43"/>
      <c r="HJ104" s="43"/>
      <c r="HK104" s="43"/>
      <c r="HL104" s="43"/>
      <c r="HM104" s="43"/>
      <c r="HN104" s="43"/>
      <c r="HO104" s="43"/>
      <c r="HP104" s="43"/>
      <c r="HQ104" s="43"/>
      <c r="HR104" s="43"/>
      <c r="HS104" s="43"/>
      <c r="HT104" s="43"/>
      <c r="HU104" s="43"/>
      <c r="HV104" s="43"/>
      <c r="HW104" s="43"/>
      <c r="HX104" s="43"/>
      <c r="HY104" s="43"/>
      <c r="HZ104" s="43"/>
      <c r="IA104" s="43"/>
      <c r="IB104" s="43"/>
      <c r="IC104" s="43"/>
      <c r="ID104" s="43"/>
      <c r="IE104" s="43"/>
      <c r="IF104" s="43"/>
      <c r="IG104" s="43"/>
      <c r="IH104" s="43"/>
      <c r="II104" s="43"/>
      <c r="IJ104" s="43"/>
      <c r="IK104" s="43"/>
      <c r="IL104" s="43"/>
      <c r="IM104" s="43"/>
      <c r="IN104" s="43"/>
      <c r="IO104" s="43"/>
      <c r="IP104" s="43"/>
      <c r="IQ104" s="43"/>
      <c r="IR104" s="43"/>
      <c r="IS104" s="43"/>
      <c r="IT104" s="43"/>
      <c r="IU104" s="43"/>
      <c r="IV104" s="43"/>
    </row>
    <row r="105" spans="1:256" s="29" customFormat="1" ht="18" x14ac:dyDescent="0.3">
      <c r="A105" s="33" t="s">
        <v>103</v>
      </c>
      <c r="B105" s="122" t="s">
        <v>158</v>
      </c>
      <c r="C105" s="43">
        <v>0</v>
      </c>
      <c r="D105" s="43">
        <v>0</v>
      </c>
      <c r="E105" s="43">
        <v>0</v>
      </c>
      <c r="F105" s="43">
        <v>8118.4359999999997</v>
      </c>
      <c r="G105" s="43">
        <v>0</v>
      </c>
      <c r="H105" s="43">
        <v>25579.909999999996</v>
      </c>
      <c r="I105" s="43">
        <v>33897.379000000001</v>
      </c>
      <c r="J105" s="43">
        <f>SUM('X-Monthly'!CI105:CT105)</f>
        <v>31992.880000000001</v>
      </c>
      <c r="K105" s="43">
        <f>SUM('X-Monthly'!CU105:DF105)</f>
        <v>0</v>
      </c>
      <c r="L105" s="43">
        <f>SUM('X-Monthly'!DG105:DR105)</f>
        <v>22412.5</v>
      </c>
      <c r="M105" s="43">
        <f>SUM('X-Monthly'!DS105:ED105)</f>
        <v>15887.405999999999</v>
      </c>
      <c r="N105" s="43">
        <v>27875.71</v>
      </c>
      <c r="O105" s="43">
        <v>70939.900000000009</v>
      </c>
      <c r="P105" s="43">
        <v>78788.89</v>
      </c>
      <c r="Q105" s="43">
        <v>66010.36</v>
      </c>
      <c r="R105" s="43">
        <v>88772.6</v>
      </c>
      <c r="S105" s="43">
        <v>46061.399999999994</v>
      </c>
      <c r="T105" s="43">
        <v>0</v>
      </c>
      <c r="U105" s="43">
        <v>8818.57</v>
      </c>
      <c r="V105" s="44" t="s">
        <v>93</v>
      </c>
      <c r="W105" s="44" t="s">
        <v>93</v>
      </c>
      <c r="X105" s="44">
        <v>21139.7778</v>
      </c>
      <c r="Y105" s="44">
        <v>108564.42555000001</v>
      </c>
      <c r="Z105" s="44">
        <v>134240.6257</v>
      </c>
      <c r="AA105" s="44">
        <v>114081.54829999998</v>
      </c>
      <c r="AB105" s="43">
        <v>114247.26365000001</v>
      </c>
      <c r="AC105" s="43">
        <v>118923.156</v>
      </c>
      <c r="AD105" s="43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43"/>
      <c r="AR105" s="43"/>
      <c r="AS105" s="4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  <c r="BF105" s="43"/>
      <c r="BG105" s="43"/>
      <c r="BH105" s="43"/>
      <c r="BI105" s="43"/>
      <c r="BJ105" s="43"/>
      <c r="BK105" s="43"/>
      <c r="BL105" s="43"/>
      <c r="BM105" s="43"/>
      <c r="BN105" s="43"/>
      <c r="BO105" s="43"/>
      <c r="BP105" s="43"/>
      <c r="BQ105" s="43"/>
      <c r="BR105" s="43"/>
      <c r="BS105" s="43"/>
      <c r="BT105" s="43"/>
      <c r="BU105" s="43"/>
      <c r="BV105" s="43"/>
      <c r="BW105" s="43"/>
      <c r="BX105" s="43"/>
      <c r="BY105" s="43"/>
      <c r="BZ105" s="43"/>
      <c r="CA105" s="43"/>
      <c r="CB105" s="43"/>
      <c r="CC105" s="43"/>
      <c r="CD105" s="43"/>
      <c r="CE105" s="43"/>
      <c r="CF105" s="43"/>
      <c r="CG105" s="43"/>
      <c r="CH105" s="43"/>
      <c r="CI105" s="43"/>
      <c r="CJ105" s="43"/>
      <c r="CK105" s="43"/>
      <c r="CL105" s="43"/>
      <c r="CM105" s="43"/>
      <c r="CN105" s="43"/>
      <c r="CO105" s="43"/>
      <c r="CP105" s="43"/>
      <c r="CQ105" s="43"/>
      <c r="CR105" s="43"/>
      <c r="CS105" s="43"/>
      <c r="CT105" s="43"/>
      <c r="CU105" s="43"/>
      <c r="CV105" s="43"/>
      <c r="CW105" s="43"/>
      <c r="CX105" s="43"/>
      <c r="CY105" s="43"/>
      <c r="CZ105" s="43"/>
      <c r="DA105" s="43"/>
      <c r="DB105" s="43"/>
      <c r="DC105" s="43"/>
      <c r="DD105" s="43"/>
      <c r="DE105" s="43"/>
      <c r="DF105" s="43"/>
      <c r="DG105" s="43"/>
      <c r="DH105" s="43"/>
      <c r="DI105" s="43"/>
      <c r="DJ105" s="43"/>
      <c r="DK105" s="43"/>
      <c r="DL105" s="43"/>
      <c r="DM105" s="43"/>
      <c r="DN105" s="43"/>
      <c r="DO105" s="43"/>
      <c r="DP105" s="43"/>
      <c r="DQ105" s="43"/>
      <c r="DR105" s="43"/>
      <c r="DS105" s="43"/>
      <c r="DT105" s="43"/>
      <c r="DU105" s="43"/>
      <c r="DV105" s="43"/>
      <c r="DW105" s="43"/>
      <c r="DX105" s="43"/>
      <c r="DY105" s="43"/>
      <c r="DZ105" s="43"/>
      <c r="EA105" s="43"/>
      <c r="EB105" s="43"/>
      <c r="EC105" s="43"/>
      <c r="ED105" s="43"/>
      <c r="EE105" s="43"/>
      <c r="EF105" s="43"/>
      <c r="EG105" s="43"/>
      <c r="EH105" s="43"/>
      <c r="EI105" s="43"/>
      <c r="EJ105" s="43"/>
      <c r="EK105" s="43"/>
      <c r="EL105" s="43"/>
      <c r="EM105" s="43"/>
      <c r="EN105" s="43"/>
      <c r="EO105" s="43"/>
      <c r="EP105" s="43"/>
      <c r="EQ105" s="43"/>
      <c r="ER105" s="43"/>
      <c r="ES105" s="43"/>
      <c r="ET105" s="43"/>
      <c r="EU105" s="43"/>
      <c r="EV105" s="43"/>
      <c r="EW105" s="43"/>
      <c r="EX105" s="43"/>
      <c r="EY105" s="43"/>
      <c r="EZ105" s="43"/>
      <c r="FA105" s="43"/>
      <c r="FB105" s="43"/>
      <c r="FC105" s="43"/>
      <c r="FD105" s="43"/>
      <c r="FE105" s="43"/>
      <c r="FF105" s="43"/>
      <c r="FG105" s="43"/>
      <c r="FH105" s="43"/>
      <c r="FI105" s="43"/>
      <c r="FJ105" s="43"/>
      <c r="FK105" s="43"/>
      <c r="FL105" s="43"/>
      <c r="FM105" s="43"/>
      <c r="FN105" s="43"/>
      <c r="FO105" s="43"/>
      <c r="FP105" s="43"/>
      <c r="FQ105" s="43"/>
      <c r="FR105" s="43"/>
      <c r="FS105" s="43"/>
      <c r="FT105" s="43"/>
      <c r="FU105" s="43"/>
      <c r="FV105" s="43"/>
      <c r="FW105" s="43"/>
      <c r="FX105" s="43"/>
      <c r="FY105" s="43"/>
      <c r="FZ105" s="43"/>
      <c r="GA105" s="43"/>
      <c r="GB105" s="43"/>
      <c r="GC105" s="43"/>
      <c r="GD105" s="43"/>
      <c r="GE105" s="43"/>
      <c r="GF105" s="43"/>
      <c r="GG105" s="43"/>
      <c r="GH105" s="43"/>
      <c r="GI105" s="43"/>
      <c r="GJ105" s="43"/>
      <c r="GK105" s="43"/>
      <c r="GL105" s="43"/>
      <c r="GM105" s="43"/>
      <c r="GN105" s="43"/>
      <c r="GO105" s="43"/>
      <c r="GP105" s="43"/>
      <c r="GQ105" s="43"/>
      <c r="GR105" s="43"/>
      <c r="GS105" s="43"/>
      <c r="GT105" s="43"/>
      <c r="GU105" s="43"/>
      <c r="GV105" s="43"/>
      <c r="GW105" s="43"/>
      <c r="GX105" s="43"/>
      <c r="GY105" s="43"/>
      <c r="GZ105" s="43"/>
      <c r="HA105" s="43"/>
      <c r="HB105" s="43"/>
      <c r="HC105" s="43"/>
      <c r="HD105" s="43"/>
      <c r="HE105" s="43"/>
      <c r="HF105" s="43"/>
      <c r="HG105" s="43"/>
      <c r="HH105" s="43"/>
      <c r="HI105" s="43"/>
      <c r="HJ105" s="43"/>
      <c r="HK105" s="43"/>
      <c r="HL105" s="43"/>
      <c r="HM105" s="43"/>
      <c r="HN105" s="43"/>
      <c r="HO105" s="43"/>
      <c r="HP105" s="43"/>
      <c r="HQ105" s="43"/>
      <c r="HR105" s="43"/>
      <c r="HS105" s="43"/>
      <c r="HT105" s="43"/>
      <c r="HU105" s="43"/>
      <c r="HV105" s="43"/>
      <c r="HW105" s="43"/>
      <c r="HX105" s="43"/>
      <c r="HY105" s="43"/>
      <c r="HZ105" s="43"/>
      <c r="IA105" s="43"/>
      <c r="IB105" s="43"/>
      <c r="IC105" s="43"/>
      <c r="ID105" s="43"/>
      <c r="IE105" s="43"/>
      <c r="IF105" s="43"/>
      <c r="IG105" s="43"/>
      <c r="IH105" s="43"/>
      <c r="II105" s="43"/>
      <c r="IJ105" s="43"/>
      <c r="IK105" s="43"/>
      <c r="IL105" s="43"/>
      <c r="IM105" s="43"/>
      <c r="IN105" s="43"/>
      <c r="IO105" s="43"/>
      <c r="IP105" s="43"/>
      <c r="IQ105" s="43"/>
      <c r="IR105" s="43"/>
      <c r="IS105" s="43"/>
      <c r="IT105" s="43"/>
      <c r="IU105" s="43"/>
      <c r="IV105" s="43"/>
    </row>
    <row r="106" spans="1:256" s="29" customFormat="1" x14ac:dyDescent="0.3">
      <c r="A106" s="33" t="s">
        <v>163</v>
      </c>
      <c r="B106" s="125" t="s">
        <v>104</v>
      </c>
      <c r="C106" s="43">
        <v>0</v>
      </c>
      <c r="D106" s="43">
        <v>274.90000000000003</v>
      </c>
      <c r="E106" s="43">
        <v>63.86</v>
      </c>
      <c r="F106" s="43">
        <v>174.82487499999999</v>
      </c>
      <c r="G106" s="43">
        <v>164.87821500000001</v>
      </c>
      <c r="H106" s="43">
        <v>135.42849000000001</v>
      </c>
      <c r="I106" s="43">
        <v>167.266413</v>
      </c>
      <c r="J106" s="43">
        <f>SUM('X-Monthly'!CI106:CT106)</f>
        <v>161.81593800000002</v>
      </c>
      <c r="K106" s="43">
        <f>SUM('X-Monthly'!CU106:DF106)</f>
        <v>173.432984</v>
      </c>
      <c r="L106" s="43">
        <f>SUM('X-Monthly'!DG106:DR106)</f>
        <v>235.41904999999997</v>
      </c>
      <c r="M106" s="43">
        <f>SUM('X-Monthly'!DS106:ED106)</f>
        <v>195.91201999999998</v>
      </c>
      <c r="N106" s="43">
        <v>249.37315000000001</v>
      </c>
      <c r="O106" s="43">
        <v>198.59654</v>
      </c>
      <c r="P106" s="43">
        <v>119.91170000000001</v>
      </c>
      <c r="Q106" s="43">
        <v>52.650779999999997</v>
      </c>
      <c r="R106" s="43">
        <v>37594.459640000001</v>
      </c>
      <c r="S106" s="43">
        <v>62666.119999999995</v>
      </c>
      <c r="T106" s="43">
        <v>77959.19</v>
      </c>
      <c r="U106" s="43">
        <v>80760.59</v>
      </c>
      <c r="V106" s="43">
        <v>81363.469000000012</v>
      </c>
      <c r="W106" s="43">
        <v>74373.572</v>
      </c>
      <c r="X106" s="43">
        <v>103663.93400000001</v>
      </c>
      <c r="Y106" s="43">
        <v>109648.95</v>
      </c>
      <c r="Z106" s="43">
        <v>138816.03458873101</v>
      </c>
      <c r="AA106" s="43">
        <v>137607.92600000001</v>
      </c>
      <c r="AB106" s="43">
        <v>264878.02068000002</v>
      </c>
      <c r="AC106" s="43">
        <v>260269.05101666669</v>
      </c>
      <c r="AD106" s="43"/>
      <c r="AE106" s="43"/>
      <c r="AF106" s="43"/>
      <c r="AG106" s="43"/>
      <c r="AH106" s="43"/>
      <c r="AI106" s="43"/>
      <c r="AJ106" s="43"/>
      <c r="AK106" s="43"/>
      <c r="AL106" s="43"/>
      <c r="AM106" s="43"/>
      <c r="AN106" s="43"/>
      <c r="AO106" s="43"/>
      <c r="AP106" s="43"/>
      <c r="AQ106" s="43"/>
      <c r="AR106" s="43"/>
      <c r="AS106" s="4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  <c r="BF106" s="43"/>
      <c r="BG106" s="43"/>
      <c r="BH106" s="43"/>
      <c r="BI106" s="43"/>
      <c r="BJ106" s="43"/>
      <c r="BK106" s="43"/>
      <c r="BL106" s="43"/>
      <c r="BM106" s="43"/>
      <c r="BN106" s="43"/>
      <c r="BO106" s="43"/>
      <c r="BP106" s="43"/>
      <c r="BQ106" s="43"/>
      <c r="BR106" s="43"/>
      <c r="BS106" s="43"/>
      <c r="BT106" s="43"/>
      <c r="BU106" s="43"/>
      <c r="BV106" s="43"/>
      <c r="BW106" s="43"/>
      <c r="BX106" s="43"/>
      <c r="BY106" s="43"/>
      <c r="BZ106" s="43"/>
      <c r="CA106" s="43"/>
      <c r="CB106" s="43"/>
      <c r="CC106" s="43"/>
      <c r="CD106" s="43"/>
      <c r="CE106" s="43"/>
      <c r="CF106" s="43"/>
      <c r="CG106" s="43"/>
      <c r="CH106" s="43"/>
      <c r="CI106" s="43"/>
      <c r="CJ106" s="43"/>
      <c r="CK106" s="43"/>
      <c r="CL106" s="43"/>
      <c r="CM106" s="43"/>
      <c r="CN106" s="43"/>
      <c r="CO106" s="43"/>
      <c r="CP106" s="43"/>
      <c r="CQ106" s="43"/>
      <c r="CR106" s="43"/>
      <c r="CS106" s="43"/>
      <c r="CT106" s="43"/>
      <c r="CU106" s="43"/>
      <c r="CV106" s="43"/>
      <c r="CW106" s="43"/>
      <c r="CX106" s="43"/>
      <c r="CY106" s="43"/>
      <c r="CZ106" s="43"/>
      <c r="DA106" s="43"/>
      <c r="DB106" s="43"/>
      <c r="DC106" s="43"/>
      <c r="DD106" s="43"/>
      <c r="DE106" s="43"/>
      <c r="DF106" s="43"/>
      <c r="DG106" s="43"/>
      <c r="DH106" s="43"/>
      <c r="DI106" s="43"/>
      <c r="DJ106" s="43"/>
      <c r="DK106" s="43"/>
      <c r="DL106" s="43"/>
      <c r="DM106" s="43"/>
      <c r="DN106" s="43"/>
      <c r="DO106" s="43"/>
      <c r="DP106" s="43"/>
      <c r="DQ106" s="43"/>
      <c r="DR106" s="43"/>
      <c r="DS106" s="43"/>
      <c r="DT106" s="43"/>
      <c r="DU106" s="43"/>
      <c r="DV106" s="43"/>
      <c r="DW106" s="43"/>
      <c r="DX106" s="43"/>
      <c r="DY106" s="43"/>
      <c r="DZ106" s="43"/>
      <c r="EA106" s="43"/>
      <c r="EB106" s="43"/>
      <c r="EC106" s="43"/>
      <c r="ED106" s="43"/>
      <c r="EE106" s="43"/>
      <c r="EF106" s="43"/>
      <c r="EG106" s="43"/>
      <c r="EH106" s="43"/>
      <c r="EI106" s="43"/>
      <c r="EJ106" s="43"/>
      <c r="EK106" s="43"/>
      <c r="EL106" s="43"/>
      <c r="EM106" s="43"/>
      <c r="EN106" s="43"/>
      <c r="EO106" s="43"/>
      <c r="EP106" s="43"/>
      <c r="EQ106" s="43"/>
      <c r="ER106" s="43"/>
      <c r="ES106" s="43"/>
      <c r="ET106" s="43"/>
      <c r="EU106" s="43"/>
      <c r="EV106" s="43"/>
      <c r="EW106" s="43"/>
      <c r="EX106" s="43"/>
      <c r="EY106" s="43"/>
      <c r="EZ106" s="43"/>
      <c r="FA106" s="43"/>
      <c r="FB106" s="43"/>
      <c r="FC106" s="43"/>
      <c r="FD106" s="43"/>
      <c r="FE106" s="43"/>
      <c r="FF106" s="43"/>
      <c r="FG106" s="43"/>
      <c r="FH106" s="43"/>
      <c r="FI106" s="43"/>
      <c r="FJ106" s="43"/>
      <c r="FK106" s="43"/>
      <c r="FL106" s="43"/>
      <c r="FM106" s="43"/>
      <c r="FN106" s="43"/>
      <c r="FO106" s="43"/>
      <c r="FP106" s="43"/>
      <c r="FQ106" s="43"/>
      <c r="FR106" s="43"/>
      <c r="FS106" s="43"/>
      <c r="FT106" s="43"/>
      <c r="FU106" s="43"/>
      <c r="FV106" s="43"/>
      <c r="FW106" s="43"/>
      <c r="FX106" s="43"/>
      <c r="FY106" s="43"/>
      <c r="FZ106" s="43"/>
      <c r="GA106" s="43"/>
      <c r="GB106" s="43"/>
      <c r="GC106" s="43"/>
      <c r="GD106" s="43"/>
      <c r="GE106" s="43"/>
      <c r="GF106" s="43"/>
      <c r="GG106" s="43"/>
      <c r="GH106" s="43"/>
      <c r="GI106" s="43"/>
      <c r="GJ106" s="43"/>
      <c r="GK106" s="43"/>
      <c r="GL106" s="43"/>
      <c r="GM106" s="43"/>
      <c r="GN106" s="43"/>
      <c r="GO106" s="43"/>
      <c r="GP106" s="43"/>
      <c r="GQ106" s="43"/>
      <c r="GR106" s="43"/>
      <c r="GS106" s="43"/>
      <c r="GT106" s="43"/>
      <c r="GU106" s="43"/>
      <c r="GV106" s="43"/>
      <c r="GW106" s="43"/>
      <c r="GX106" s="43"/>
      <c r="GY106" s="43"/>
      <c r="GZ106" s="43"/>
      <c r="HA106" s="43"/>
      <c r="HB106" s="43"/>
      <c r="HC106" s="43"/>
      <c r="HD106" s="43"/>
      <c r="HE106" s="43"/>
      <c r="HF106" s="43"/>
      <c r="HG106" s="43"/>
      <c r="HH106" s="43"/>
      <c r="HI106" s="43"/>
      <c r="HJ106" s="43"/>
      <c r="HK106" s="43"/>
      <c r="HL106" s="43"/>
      <c r="HM106" s="43"/>
      <c r="HN106" s="43"/>
      <c r="HO106" s="43"/>
      <c r="HP106" s="43"/>
      <c r="HQ106" s="43"/>
      <c r="HR106" s="43"/>
      <c r="HS106" s="43"/>
      <c r="HT106" s="43"/>
      <c r="HU106" s="43"/>
      <c r="HV106" s="43"/>
      <c r="HW106" s="43"/>
      <c r="HX106" s="43"/>
      <c r="HY106" s="43"/>
      <c r="HZ106" s="43"/>
      <c r="IA106" s="43"/>
      <c r="IB106" s="43"/>
      <c r="IC106" s="43"/>
      <c r="ID106" s="43"/>
      <c r="IE106" s="43"/>
      <c r="IF106" s="43"/>
      <c r="IG106" s="43"/>
      <c r="IH106" s="43"/>
      <c r="II106" s="43"/>
      <c r="IJ106" s="43"/>
      <c r="IK106" s="43"/>
      <c r="IL106" s="43"/>
      <c r="IM106" s="43"/>
      <c r="IN106" s="43"/>
      <c r="IO106" s="43"/>
      <c r="IP106" s="43"/>
      <c r="IQ106" s="43"/>
      <c r="IR106" s="43"/>
      <c r="IS106" s="43"/>
      <c r="IT106" s="43"/>
      <c r="IU106" s="43"/>
      <c r="IV106" s="43"/>
    </row>
    <row r="107" spans="1:256" s="29" customFormat="1" x14ac:dyDescent="0.3">
      <c r="A107" s="33" t="s">
        <v>160</v>
      </c>
      <c r="B107" s="125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>
        <v>21875.703000000001</v>
      </c>
      <c r="Z107" s="43">
        <v>17558.707000000002</v>
      </c>
      <c r="AA107" s="43">
        <v>13845.813999999998</v>
      </c>
      <c r="AB107" s="43">
        <v>21100.266</v>
      </c>
      <c r="AC107" s="43">
        <v>19113.071499999998</v>
      </c>
      <c r="AD107" s="43"/>
      <c r="AE107" s="43"/>
      <c r="AF107" s="43"/>
      <c r="AG107" s="43"/>
      <c r="AH107" s="43"/>
      <c r="AI107" s="43"/>
      <c r="AJ107" s="43"/>
      <c r="AK107" s="43"/>
      <c r="AL107" s="43"/>
      <c r="AM107" s="43"/>
      <c r="AN107" s="43"/>
      <c r="AO107" s="43"/>
      <c r="AP107" s="43"/>
      <c r="AQ107" s="43"/>
      <c r="AR107" s="43"/>
      <c r="AS107" s="4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  <c r="BF107" s="43"/>
      <c r="BG107" s="43"/>
      <c r="BH107" s="43"/>
      <c r="BI107" s="43"/>
      <c r="BJ107" s="43"/>
      <c r="BK107" s="43"/>
      <c r="BL107" s="43"/>
      <c r="BM107" s="43"/>
      <c r="BN107" s="43"/>
      <c r="BO107" s="43"/>
      <c r="BP107" s="43"/>
      <c r="BQ107" s="43"/>
      <c r="BR107" s="43"/>
      <c r="BS107" s="43"/>
      <c r="BT107" s="43"/>
      <c r="BU107" s="43"/>
      <c r="BV107" s="43"/>
      <c r="BW107" s="43"/>
      <c r="BX107" s="43"/>
      <c r="BY107" s="43"/>
      <c r="BZ107" s="43"/>
      <c r="CA107" s="43"/>
      <c r="CB107" s="43"/>
      <c r="CC107" s="43"/>
      <c r="CD107" s="43"/>
      <c r="CE107" s="43"/>
      <c r="CF107" s="43"/>
      <c r="CG107" s="43"/>
      <c r="CH107" s="43"/>
      <c r="CI107" s="43"/>
      <c r="CJ107" s="43"/>
      <c r="CK107" s="43"/>
      <c r="CL107" s="43"/>
      <c r="CM107" s="43"/>
      <c r="CN107" s="43"/>
      <c r="CO107" s="43"/>
      <c r="CP107" s="43"/>
      <c r="CQ107" s="43"/>
      <c r="CR107" s="43"/>
      <c r="CS107" s="43"/>
      <c r="CT107" s="43"/>
      <c r="CU107" s="43"/>
      <c r="CV107" s="43"/>
      <c r="CW107" s="43"/>
      <c r="CX107" s="43"/>
      <c r="CY107" s="43"/>
      <c r="CZ107" s="43"/>
      <c r="DA107" s="43"/>
      <c r="DB107" s="43"/>
      <c r="DC107" s="43"/>
      <c r="DD107" s="43"/>
      <c r="DE107" s="43"/>
      <c r="DF107" s="43"/>
      <c r="DG107" s="43"/>
      <c r="DH107" s="43"/>
      <c r="DI107" s="43"/>
      <c r="DJ107" s="43"/>
      <c r="DK107" s="43"/>
      <c r="DL107" s="43"/>
      <c r="DM107" s="43"/>
      <c r="DN107" s="43"/>
      <c r="DO107" s="43"/>
      <c r="DP107" s="43"/>
      <c r="DQ107" s="43"/>
      <c r="DR107" s="43"/>
      <c r="DS107" s="43"/>
      <c r="DT107" s="43"/>
      <c r="DU107" s="43"/>
      <c r="DV107" s="43"/>
      <c r="DW107" s="43"/>
      <c r="DX107" s="43"/>
      <c r="DY107" s="43"/>
      <c r="DZ107" s="43"/>
      <c r="EA107" s="43"/>
      <c r="EB107" s="43"/>
      <c r="EC107" s="43"/>
      <c r="ED107" s="43"/>
      <c r="EE107" s="43"/>
      <c r="EF107" s="43"/>
      <c r="EG107" s="43"/>
      <c r="EH107" s="43"/>
      <c r="EI107" s="43"/>
      <c r="EJ107" s="43"/>
      <c r="EK107" s="43"/>
      <c r="EL107" s="43"/>
      <c r="EM107" s="43"/>
      <c r="EN107" s="43"/>
      <c r="EO107" s="43"/>
      <c r="EP107" s="43"/>
      <c r="EQ107" s="43"/>
      <c r="ER107" s="43"/>
      <c r="ES107" s="43"/>
      <c r="ET107" s="43"/>
      <c r="EU107" s="43"/>
      <c r="EV107" s="43"/>
      <c r="EW107" s="43"/>
      <c r="EX107" s="43"/>
      <c r="EY107" s="43"/>
      <c r="EZ107" s="43"/>
      <c r="FA107" s="43"/>
      <c r="FB107" s="43"/>
      <c r="FC107" s="43"/>
      <c r="FD107" s="43"/>
      <c r="FE107" s="43"/>
      <c r="FF107" s="43"/>
      <c r="FG107" s="43"/>
      <c r="FH107" s="43"/>
      <c r="FI107" s="43"/>
      <c r="FJ107" s="43"/>
      <c r="FK107" s="43"/>
      <c r="FL107" s="43"/>
      <c r="FM107" s="43"/>
      <c r="FN107" s="43"/>
      <c r="FO107" s="43"/>
      <c r="FP107" s="43"/>
      <c r="FQ107" s="43"/>
      <c r="FR107" s="43"/>
      <c r="FS107" s="43"/>
      <c r="FT107" s="43"/>
      <c r="FU107" s="43"/>
      <c r="FV107" s="43"/>
      <c r="FW107" s="43"/>
      <c r="FX107" s="43"/>
      <c r="FY107" s="43"/>
      <c r="FZ107" s="43"/>
      <c r="GA107" s="43"/>
      <c r="GB107" s="43"/>
      <c r="GC107" s="43"/>
      <c r="GD107" s="43"/>
      <c r="GE107" s="43"/>
      <c r="GF107" s="43"/>
      <c r="GG107" s="43"/>
      <c r="GH107" s="43"/>
      <c r="GI107" s="43"/>
      <c r="GJ107" s="43"/>
      <c r="GK107" s="43"/>
      <c r="GL107" s="43"/>
      <c r="GM107" s="43"/>
      <c r="GN107" s="43"/>
      <c r="GO107" s="43"/>
      <c r="GP107" s="43"/>
      <c r="GQ107" s="43"/>
      <c r="GR107" s="43"/>
      <c r="GS107" s="43"/>
      <c r="GT107" s="43"/>
      <c r="GU107" s="43"/>
      <c r="GV107" s="43"/>
      <c r="GW107" s="43"/>
      <c r="GX107" s="43"/>
      <c r="GY107" s="43"/>
      <c r="GZ107" s="43"/>
      <c r="HA107" s="43"/>
      <c r="HB107" s="43"/>
      <c r="HC107" s="43"/>
      <c r="HD107" s="43"/>
      <c r="HE107" s="43"/>
      <c r="HF107" s="43"/>
      <c r="HG107" s="43"/>
      <c r="HH107" s="43"/>
      <c r="HI107" s="43"/>
      <c r="HJ107" s="43"/>
      <c r="HK107" s="43"/>
      <c r="HL107" s="43"/>
      <c r="HM107" s="43"/>
      <c r="HN107" s="43"/>
      <c r="HO107" s="43"/>
      <c r="HP107" s="43"/>
      <c r="HQ107" s="43"/>
      <c r="HR107" s="43"/>
      <c r="HS107" s="43"/>
      <c r="HT107" s="43"/>
      <c r="HU107" s="43"/>
      <c r="HV107" s="43"/>
      <c r="HW107" s="43"/>
      <c r="HX107" s="43"/>
      <c r="HY107" s="43"/>
      <c r="HZ107" s="43"/>
      <c r="IA107" s="43"/>
      <c r="IB107" s="43"/>
      <c r="IC107" s="43"/>
      <c r="ID107" s="43"/>
      <c r="IE107" s="43"/>
      <c r="IF107" s="43"/>
      <c r="IG107" s="43"/>
      <c r="IH107" s="43"/>
      <c r="II107" s="43"/>
      <c r="IJ107" s="43"/>
      <c r="IK107" s="43"/>
      <c r="IL107" s="43"/>
      <c r="IM107" s="43"/>
      <c r="IN107" s="43"/>
      <c r="IO107" s="43"/>
      <c r="IP107" s="43"/>
      <c r="IQ107" s="43"/>
      <c r="IR107" s="43"/>
      <c r="IS107" s="43"/>
      <c r="IT107" s="43"/>
      <c r="IU107" s="43"/>
      <c r="IV107" s="43"/>
    </row>
    <row r="108" spans="1:256" s="53" customFormat="1" ht="16.2" thickBot="1" x14ac:dyDescent="0.35">
      <c r="A108" s="52"/>
      <c r="B108" s="126"/>
    </row>
    <row r="109" spans="1:256" s="29" customFormat="1" x14ac:dyDescent="0.3">
      <c r="A109" s="33"/>
      <c r="B109" s="33"/>
    </row>
    <row r="110" spans="1:256" s="29" customFormat="1" x14ac:dyDescent="0.3">
      <c r="A110" s="33" t="s">
        <v>41</v>
      </c>
      <c r="B110" s="33"/>
      <c r="DR110" s="29" t="s">
        <v>84</v>
      </c>
      <c r="HE110" s="29">
        <f>+(HE111*1000)/185</f>
        <v>11228.324324324323</v>
      </c>
      <c r="HF110" s="29">
        <f>+(HF111*1000)/185</f>
        <v>0</v>
      </c>
      <c r="HG110" s="29">
        <f>+(HG111*1000)/185</f>
        <v>0</v>
      </c>
    </row>
    <row r="111" spans="1:256" s="29" customFormat="1" x14ac:dyDescent="0.3">
      <c r="A111" s="33" t="s">
        <v>106</v>
      </c>
      <c r="B111" s="33"/>
      <c r="DA111" s="29" t="s">
        <v>106</v>
      </c>
      <c r="HE111" s="29">
        <v>2077.2399999999998</v>
      </c>
    </row>
    <row r="112" spans="1:256" s="29" customFormat="1" x14ac:dyDescent="0.3">
      <c r="A112" s="33" t="s">
        <v>107</v>
      </c>
      <c r="B112" s="33"/>
      <c r="DA112" s="29" t="s">
        <v>107</v>
      </c>
    </row>
    <row r="113" spans="1:2" s="29" customFormat="1" x14ac:dyDescent="0.3">
      <c r="A113" s="33" t="s">
        <v>108</v>
      </c>
      <c r="B113" s="33"/>
    </row>
    <row r="114" spans="1:2" s="29" customFormat="1" x14ac:dyDescent="0.3">
      <c r="A114" s="33" t="s">
        <v>109</v>
      </c>
      <c r="B114" s="33"/>
    </row>
    <row r="115" spans="1:2" s="29" customFormat="1" x14ac:dyDescent="0.3">
      <c r="A115" s="33"/>
      <c r="B115" s="33"/>
    </row>
    <row r="116" spans="1:2" s="29" customFormat="1" x14ac:dyDescent="0.3">
      <c r="A116" s="33" t="s">
        <v>110</v>
      </c>
      <c r="B116" s="33"/>
    </row>
  </sheetData>
  <hyperlinks>
    <hyperlink ref="A1" location="'Table of Contents'!A1" display="Back to the Table of Contents" xr:uid="{00000000-0004-0000-0400-000000000000}"/>
  </hyperlink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 of Contents</vt:lpstr>
      <vt:lpstr>X-Monthly</vt:lpstr>
      <vt:lpstr>X-Quarterly</vt:lpstr>
      <vt:lpstr>X-CY</vt:lpstr>
      <vt:lpstr>X-FY</vt:lpstr>
    </vt:vector>
  </TitlesOfParts>
  <Company>Bank Of Uganda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ckabibi</dc:creator>
  <cp:lastModifiedBy>Nathan Schneck</cp:lastModifiedBy>
  <dcterms:created xsi:type="dcterms:W3CDTF">2011-08-10T13:29:12Z</dcterms:created>
  <dcterms:modified xsi:type="dcterms:W3CDTF">2019-02-22T17:54:07Z</dcterms:modified>
</cp:coreProperties>
</file>